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esaqib\Downloads\"/>
    </mc:Choice>
  </mc:AlternateContent>
  <xr:revisionPtr revIDLastSave="0" documentId="13_ncr:1_{5468B8F2-1D37-460A-8D36-22155FB45AAA}" xr6:coauthVersionLast="36" xr6:coauthVersionMax="36" xr10:uidLastSave="{00000000-0000-0000-0000-000000000000}"/>
  <workbookProtection workbookPassword="E6CD" lockStructure="1"/>
  <bookViews>
    <workbookView xWindow="-108" yWindow="-108" windowWidth="23256" windowHeight="12456" xr2:uid="{00000000-000D-0000-FFFF-FFFF00000000}"/>
  </bookViews>
  <sheets>
    <sheet name="Dash" sheetId="2" r:id="rId1"/>
    <sheet name="Calculations" sheetId="1" r:id="rId2"/>
    <sheet name="Data" sheetId="5" state="hidden" r:id="rId3"/>
    <sheet name="Scales" sheetId="4" state="hidden" r:id="rId4"/>
  </sheets>
  <definedNames>
    <definedName name="I">Scales!$B$2:$B$27</definedName>
    <definedName name="II">Scales!$B$32:$B$47</definedName>
    <definedName name="III">Scales!$B$55:$B$62</definedName>
    <definedName name="IV">Scales!$B$71:$B$77</definedName>
    <definedName name="V">Scales!$B$83:$B$87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U25" i="1" s="1"/>
  <c r="D25" i="1"/>
  <c r="E25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D3" i="1"/>
  <c r="C5" i="1"/>
  <c r="C6" i="1"/>
  <c r="U6" i="1" s="1"/>
  <c r="C7" i="1"/>
  <c r="U7" i="1" s="1"/>
  <c r="C8" i="1"/>
  <c r="U8" i="1" s="1"/>
  <c r="C9" i="1"/>
  <c r="C10" i="1"/>
  <c r="U10" i="1" s="1"/>
  <c r="C11" i="1"/>
  <c r="U11" i="1" s="1"/>
  <c r="C12" i="1"/>
  <c r="U12" i="1" s="1"/>
  <c r="C13" i="1"/>
  <c r="C14" i="1"/>
  <c r="U14" i="1" s="1"/>
  <c r="C15" i="1"/>
  <c r="U15" i="1" s="1"/>
  <c r="C16" i="1"/>
  <c r="U16" i="1" s="1"/>
  <c r="C17" i="1"/>
  <c r="C18" i="1"/>
  <c r="U18" i="1" s="1"/>
  <c r="C19" i="1"/>
  <c r="U19" i="1" s="1"/>
  <c r="C20" i="1"/>
  <c r="U20" i="1" s="1"/>
  <c r="C21" i="1"/>
  <c r="U21" i="1" s="1"/>
  <c r="C22" i="1"/>
  <c r="U22" i="1" s="1"/>
  <c r="C23" i="1"/>
  <c r="U23" i="1" s="1"/>
  <c r="C24" i="1"/>
  <c r="U24" i="1" s="1"/>
  <c r="C4" i="1"/>
  <c r="C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  <c r="B3" i="1"/>
  <c r="A29" i="2"/>
  <c r="U4" i="1" l="1"/>
  <c r="U13" i="1"/>
  <c r="U17" i="1"/>
  <c r="U5" i="1"/>
  <c r="U9" i="1"/>
  <c r="A34" i="2"/>
  <c r="A33" i="2"/>
  <c r="A28" i="2"/>
  <c r="A22" i="2"/>
  <c r="E2" i="4"/>
  <c r="F2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E20" i="4"/>
  <c r="E21" i="4"/>
  <c r="E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2" i="4"/>
  <c r="F32" i="4"/>
  <c r="E33" i="4"/>
  <c r="E34" i="4"/>
  <c r="E35" i="4"/>
  <c r="E36" i="4"/>
  <c r="E37" i="4"/>
  <c r="E38" i="4"/>
  <c r="E39" i="4"/>
  <c r="E40" i="4"/>
  <c r="E41" i="4"/>
  <c r="E42" i="4"/>
  <c r="E43" i="4"/>
  <c r="E44" i="4"/>
  <c r="F44" i="4"/>
  <c r="E45" i="4"/>
  <c r="F45" i="4"/>
  <c r="E46" i="4"/>
  <c r="E47" i="4"/>
  <c r="E48" i="4"/>
  <c r="F48" i="4"/>
  <c r="E49" i="4"/>
  <c r="F49" i="4"/>
  <c r="E50" i="4"/>
  <c r="F50" i="4"/>
  <c r="E51" i="4"/>
  <c r="F51" i="4"/>
  <c r="F52" i="4"/>
  <c r="E53" i="4"/>
  <c r="F53" i="4"/>
  <c r="E55" i="4"/>
  <c r="E56" i="4"/>
  <c r="E57" i="4"/>
  <c r="E58" i="4"/>
  <c r="E59" i="4"/>
  <c r="E60" i="4"/>
  <c r="E61" i="4"/>
  <c r="E62" i="4"/>
  <c r="E63" i="4"/>
  <c r="F63" i="4"/>
  <c r="E64" i="4"/>
  <c r="F64" i="4"/>
  <c r="E65" i="4"/>
  <c r="F65" i="4"/>
  <c r="E66" i="4"/>
  <c r="F66" i="4"/>
  <c r="E67" i="4"/>
  <c r="F67" i="4"/>
  <c r="F68" i="4"/>
  <c r="E69" i="4"/>
  <c r="F69" i="4"/>
  <c r="E71" i="4"/>
  <c r="E72" i="4"/>
  <c r="E73" i="4"/>
  <c r="E74" i="4"/>
  <c r="E75" i="4"/>
  <c r="E76" i="4"/>
  <c r="E77" i="4"/>
  <c r="E78" i="4"/>
  <c r="F78" i="4"/>
  <c r="F79" i="4"/>
  <c r="E80" i="4"/>
  <c r="F80" i="4"/>
  <c r="E81" i="4"/>
  <c r="F81" i="4"/>
  <c r="E83" i="4"/>
  <c r="E84" i="4"/>
  <c r="E85" i="4"/>
  <c r="E86" i="4"/>
  <c r="E87" i="4"/>
  <c r="F88" i="4"/>
  <c r="E89" i="4"/>
  <c r="F89" i="4"/>
  <c r="E90" i="4"/>
  <c r="F90" i="4"/>
  <c r="E91" i="4"/>
  <c r="C88" i="4"/>
  <c r="C78" i="4"/>
  <c r="C79" i="4"/>
  <c r="C63" i="4"/>
  <c r="C64" i="4"/>
  <c r="C65" i="4"/>
  <c r="C66" i="4"/>
  <c r="C67" i="4"/>
  <c r="C68" i="4"/>
  <c r="C52" i="4"/>
  <c r="C51" i="4"/>
  <c r="C50" i="4"/>
  <c r="C49" i="4"/>
  <c r="C48" i="4"/>
  <c r="C31" i="4"/>
  <c r="C30" i="4"/>
  <c r="C29" i="4"/>
  <c r="C28" i="4"/>
  <c r="C44" i="4"/>
  <c r="C45" i="4"/>
  <c r="C46" i="4"/>
  <c r="C47" i="4"/>
  <c r="D22" i="4"/>
  <c r="D20" i="4"/>
  <c r="C20" i="4"/>
  <c r="C21" i="4"/>
  <c r="C22" i="4"/>
  <c r="C23" i="4"/>
  <c r="C24" i="4"/>
  <c r="C25" i="4"/>
  <c r="C26" i="4"/>
  <c r="C27" i="4"/>
  <c r="D84" i="4"/>
  <c r="F83" i="4" s="1"/>
  <c r="D72" i="4"/>
  <c r="D73" i="4" s="1"/>
  <c r="D56" i="4"/>
  <c r="D34" i="4"/>
  <c r="F3" i="1"/>
  <c r="D85" i="4"/>
  <c r="D86" i="4" s="1"/>
  <c r="F21" i="4"/>
  <c r="F22" i="4"/>
  <c r="F19" i="4"/>
  <c r="F20" i="4"/>
  <c r="D35" i="4"/>
  <c r="F34" i="4" s="1"/>
  <c r="F33" i="4"/>
  <c r="D57" i="4"/>
  <c r="F56" i="4" s="1"/>
  <c r="F55" i="4"/>
  <c r="D36" i="4"/>
  <c r="D37" i="4" s="1"/>
  <c r="D58" i="4"/>
  <c r="D59" i="4" s="1"/>
  <c r="D47" i="4"/>
  <c r="F47" i="4"/>
  <c r="F46" i="4"/>
  <c r="U3" i="1"/>
  <c r="C32" i="4"/>
  <c r="C33" i="4"/>
  <c r="C34" i="4"/>
  <c r="C35" i="4"/>
  <c r="C36" i="4"/>
  <c r="C37" i="4"/>
  <c r="C38" i="4"/>
  <c r="C39" i="4"/>
  <c r="C40" i="4"/>
  <c r="C41" i="4"/>
  <c r="C42" i="4"/>
  <c r="C43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83" i="4"/>
  <c r="C84" i="4"/>
  <c r="C85" i="4"/>
  <c r="C86" i="4"/>
  <c r="C87" i="4"/>
  <c r="C9" i="2"/>
  <c r="C8" i="2"/>
  <c r="C7" i="2"/>
  <c r="C6" i="2"/>
  <c r="C55" i="4"/>
  <c r="C56" i="4"/>
  <c r="C57" i="4"/>
  <c r="C58" i="4"/>
  <c r="C59" i="4"/>
  <c r="C60" i="4"/>
  <c r="C61" i="4"/>
  <c r="C62" i="4"/>
  <c r="C71" i="4"/>
  <c r="C72" i="4"/>
  <c r="C73" i="4"/>
  <c r="C74" i="4"/>
  <c r="C75" i="4"/>
  <c r="C76" i="4"/>
  <c r="C77" i="4"/>
  <c r="D60" i="4" l="1"/>
  <c r="F58" i="4"/>
  <c r="D38" i="4"/>
  <c r="F36" i="4"/>
  <c r="F72" i="4"/>
  <c r="D74" i="4"/>
  <c r="F85" i="4"/>
  <c r="D87" i="4"/>
  <c r="F57" i="4"/>
  <c r="F35" i="4"/>
  <c r="F84" i="4"/>
  <c r="F71" i="4"/>
  <c r="H3" i="1"/>
  <c r="F4" i="1"/>
  <c r="R3" i="1"/>
  <c r="K3" i="1"/>
  <c r="J3" i="1"/>
  <c r="L3" i="1"/>
  <c r="Q3" i="1"/>
  <c r="M3" i="1"/>
  <c r="I3" i="1"/>
  <c r="U1" i="1"/>
  <c r="N3" i="1"/>
  <c r="D75" i="4" l="1"/>
  <c r="F73" i="4"/>
  <c r="F87" i="4"/>
  <c r="F86" i="4"/>
  <c r="D39" i="4"/>
  <c r="F37" i="4"/>
  <c r="D61" i="4"/>
  <c r="F59" i="4"/>
  <c r="X3" i="1"/>
  <c r="Y3" i="1"/>
  <c r="H4" i="1"/>
  <c r="L4" i="1"/>
  <c r="F5" i="1"/>
  <c r="K4" i="1"/>
  <c r="M4" i="1"/>
  <c r="Q4" i="1"/>
  <c r="N4" i="1"/>
  <c r="I4" i="1"/>
  <c r="J4" i="1"/>
  <c r="R4" i="1"/>
  <c r="W3" i="1"/>
  <c r="O3" i="1"/>
  <c r="AC3" i="1"/>
  <c r="V3" i="1"/>
  <c r="T3" i="1"/>
  <c r="Z3" i="1"/>
  <c r="D62" i="4" l="1"/>
  <c r="F60" i="4"/>
  <c r="F38" i="4"/>
  <c r="D40" i="4"/>
  <c r="F74" i="4"/>
  <c r="D76" i="4"/>
  <c r="W4" i="1"/>
  <c r="O4" i="1"/>
  <c r="Y4" i="1"/>
  <c r="T4" i="1"/>
  <c r="Z4" i="1"/>
  <c r="X4" i="1"/>
  <c r="V4" i="1"/>
  <c r="AC4" i="1"/>
  <c r="M5" i="1"/>
  <c r="N5" i="1"/>
  <c r="F6" i="1"/>
  <c r="H5" i="1"/>
  <c r="L5" i="1"/>
  <c r="I5" i="1"/>
  <c r="J5" i="1"/>
  <c r="K5" i="1"/>
  <c r="R5" i="1"/>
  <c r="Q5" i="1"/>
  <c r="AA3" i="1"/>
  <c r="AB3" i="1" s="1"/>
  <c r="D77" i="4" l="1"/>
  <c r="F75" i="4"/>
  <c r="D41" i="4"/>
  <c r="F39" i="4"/>
  <c r="F61" i="4"/>
  <c r="F62" i="4"/>
  <c r="AA4" i="1"/>
  <c r="AB4" i="1" s="1"/>
  <c r="Z5" i="1"/>
  <c r="Y5" i="1"/>
  <c r="T5" i="1"/>
  <c r="X5" i="1"/>
  <c r="V5" i="1"/>
  <c r="W5" i="1"/>
  <c r="AC5" i="1"/>
  <c r="N6" i="1"/>
  <c r="M6" i="1"/>
  <c r="I6" i="1"/>
  <c r="H6" i="1"/>
  <c r="L6" i="1"/>
  <c r="F7" i="1"/>
  <c r="R6" i="1"/>
  <c r="Q6" i="1"/>
  <c r="J6" i="1"/>
  <c r="K6" i="1"/>
  <c r="O5" i="1"/>
  <c r="F40" i="4" l="1"/>
  <c r="D42" i="4"/>
  <c r="F76" i="4"/>
  <c r="F77" i="4"/>
  <c r="AA5" i="1"/>
  <c r="AB5" i="1" s="1"/>
  <c r="V6" i="1"/>
  <c r="N7" i="1"/>
  <c r="H7" i="1"/>
  <c r="L7" i="1"/>
  <c r="M7" i="1"/>
  <c r="J7" i="1"/>
  <c r="F8" i="1"/>
  <c r="Q7" i="1"/>
  <c r="I7" i="1"/>
  <c r="R7" i="1"/>
  <c r="K7" i="1"/>
  <c r="O6" i="1"/>
  <c r="Y6" i="1"/>
  <c r="Z6" i="1"/>
  <c r="T6" i="1"/>
  <c r="W6" i="1"/>
  <c r="X6" i="1"/>
  <c r="AC6" i="1"/>
  <c r="D43" i="4" l="1"/>
  <c r="F41" i="4"/>
  <c r="V7" i="1"/>
  <c r="O7" i="1"/>
  <c r="AA6" i="1"/>
  <c r="AB6" i="1" s="1"/>
  <c r="Y7" i="1"/>
  <c r="W7" i="1"/>
  <c r="T7" i="1"/>
  <c r="Z7" i="1"/>
  <c r="X7" i="1"/>
  <c r="AC7" i="1"/>
  <c r="H8" i="1"/>
  <c r="L8" i="1"/>
  <c r="F9" i="1"/>
  <c r="M8" i="1"/>
  <c r="Q8" i="1"/>
  <c r="K8" i="1"/>
  <c r="N8" i="1"/>
  <c r="I8" i="1"/>
  <c r="J8" i="1"/>
  <c r="R8" i="1"/>
  <c r="F42" i="4" l="1"/>
  <c r="F43" i="4"/>
  <c r="AA7" i="1"/>
  <c r="AB7" i="1" s="1"/>
  <c r="O8" i="1"/>
  <c r="T8" i="1"/>
  <c r="Y8" i="1"/>
  <c r="X8" i="1"/>
  <c r="Z8" i="1"/>
  <c r="W8" i="1"/>
  <c r="V8" i="1"/>
  <c r="AC8" i="1"/>
  <c r="M9" i="1"/>
  <c r="H9" i="1"/>
  <c r="L9" i="1"/>
  <c r="N9" i="1"/>
  <c r="F10" i="1"/>
  <c r="J9" i="1"/>
  <c r="I9" i="1"/>
  <c r="R9" i="1"/>
  <c r="Q9" i="1"/>
  <c r="K9" i="1"/>
  <c r="O9" i="1" l="1"/>
  <c r="N10" i="1"/>
  <c r="R10" i="1"/>
  <c r="M10" i="1"/>
  <c r="H10" i="1"/>
  <c r="L10" i="1"/>
  <c r="F11" i="1"/>
  <c r="I10" i="1"/>
  <c r="Q10" i="1"/>
  <c r="J10" i="1"/>
  <c r="K10" i="1"/>
  <c r="W9" i="1"/>
  <c r="Y9" i="1"/>
  <c r="Z9" i="1"/>
  <c r="X9" i="1"/>
  <c r="V9" i="1"/>
  <c r="T9" i="1"/>
  <c r="AC9" i="1"/>
  <c r="AA8" i="1"/>
  <c r="AA9" i="1" l="1"/>
  <c r="AB9" i="1" s="1"/>
  <c r="W10" i="1"/>
  <c r="O10" i="1"/>
  <c r="AB8" i="1"/>
  <c r="J11" i="1"/>
  <c r="H11" i="1"/>
  <c r="L11" i="1"/>
  <c r="N11" i="1"/>
  <c r="M11" i="1"/>
  <c r="F12" i="1"/>
  <c r="K11" i="1"/>
  <c r="Q11" i="1"/>
  <c r="I11" i="1"/>
  <c r="R11" i="1"/>
  <c r="Y10" i="1"/>
  <c r="Z10" i="1"/>
  <c r="T10" i="1"/>
  <c r="V10" i="1"/>
  <c r="X10" i="1"/>
  <c r="AC10" i="1"/>
  <c r="X11" i="1" l="1"/>
  <c r="O11" i="1"/>
  <c r="AA10" i="1"/>
  <c r="AB10" i="1" s="1"/>
  <c r="H12" i="1"/>
  <c r="L12" i="1"/>
  <c r="F13" i="1"/>
  <c r="M12" i="1"/>
  <c r="K12" i="1"/>
  <c r="N12" i="1"/>
  <c r="I12" i="1"/>
  <c r="J12" i="1"/>
  <c r="R12" i="1"/>
  <c r="Q12" i="1"/>
  <c r="Y11" i="1"/>
  <c r="Z11" i="1"/>
  <c r="T11" i="1"/>
  <c r="V11" i="1"/>
  <c r="W11" i="1"/>
  <c r="AC11" i="1"/>
  <c r="AA11" i="1" l="1"/>
  <c r="AB11" i="1" s="1"/>
  <c r="O12" i="1"/>
  <c r="Y12" i="1"/>
  <c r="X12" i="1"/>
  <c r="T12" i="1"/>
  <c r="Z12" i="1"/>
  <c r="V12" i="1"/>
  <c r="W12" i="1"/>
  <c r="AC12" i="1"/>
  <c r="M13" i="1"/>
  <c r="N13" i="1"/>
  <c r="F14" i="1"/>
  <c r="H13" i="1"/>
  <c r="L13" i="1"/>
  <c r="Q13" i="1"/>
  <c r="K13" i="1"/>
  <c r="I13" i="1"/>
  <c r="J13" i="1"/>
  <c r="R13" i="1"/>
  <c r="O13" i="1" l="1"/>
  <c r="AA12" i="1"/>
  <c r="AB12" i="1" s="1"/>
  <c r="N14" i="1"/>
  <c r="I14" i="1"/>
  <c r="R14" i="1"/>
  <c r="M14" i="1"/>
  <c r="H14" i="1"/>
  <c r="L14" i="1"/>
  <c r="F15" i="1"/>
  <c r="Q14" i="1"/>
  <c r="K14" i="1"/>
  <c r="J14" i="1"/>
  <c r="V13" i="1"/>
  <c r="Y13" i="1"/>
  <c r="W13" i="1"/>
  <c r="Z13" i="1"/>
  <c r="T13" i="1"/>
  <c r="X13" i="1"/>
  <c r="AC13" i="1"/>
  <c r="W14" i="1" l="1"/>
  <c r="AA13" i="1"/>
  <c r="AB13" i="1" s="1"/>
  <c r="O14" i="1"/>
  <c r="H15" i="1"/>
  <c r="L15" i="1"/>
  <c r="N15" i="1"/>
  <c r="M15" i="1"/>
  <c r="J15" i="1"/>
  <c r="F16" i="1"/>
  <c r="R15" i="1"/>
  <c r="K15" i="1"/>
  <c r="Q15" i="1"/>
  <c r="I15" i="1"/>
  <c r="Y14" i="1"/>
  <c r="Z14" i="1"/>
  <c r="V14" i="1"/>
  <c r="X14" i="1"/>
  <c r="T14" i="1"/>
  <c r="AC14" i="1"/>
  <c r="AA14" i="1" l="1"/>
  <c r="AB14" i="1" s="1"/>
  <c r="W15" i="1"/>
  <c r="O15" i="1"/>
  <c r="H16" i="1"/>
  <c r="L16" i="1"/>
  <c r="F17" i="1"/>
  <c r="M16" i="1"/>
  <c r="K16" i="1"/>
  <c r="N16" i="1"/>
  <c r="J16" i="1"/>
  <c r="R16" i="1"/>
  <c r="Q16" i="1"/>
  <c r="I16" i="1"/>
  <c r="Y15" i="1"/>
  <c r="Z15" i="1"/>
  <c r="V15" i="1"/>
  <c r="T15" i="1"/>
  <c r="X15" i="1"/>
  <c r="AC15" i="1"/>
  <c r="AA15" i="1" l="1"/>
  <c r="AB15" i="1" s="1"/>
  <c r="O16" i="1"/>
  <c r="V16" i="1"/>
  <c r="M17" i="1"/>
  <c r="H17" i="1"/>
  <c r="N17" i="1"/>
  <c r="F18" i="1"/>
  <c r="L17" i="1"/>
  <c r="J17" i="1"/>
  <c r="I17" i="1"/>
  <c r="K17" i="1"/>
  <c r="R17" i="1"/>
  <c r="Q17" i="1"/>
  <c r="Y16" i="1"/>
  <c r="Z16" i="1"/>
  <c r="X16" i="1"/>
  <c r="W16" i="1"/>
  <c r="T16" i="1"/>
  <c r="AC16" i="1"/>
  <c r="AA16" i="1" l="1"/>
  <c r="AB16" i="1" s="1"/>
  <c r="O17" i="1"/>
  <c r="W17" i="1"/>
  <c r="Y17" i="1"/>
  <c r="Z17" i="1"/>
  <c r="X17" i="1"/>
  <c r="T17" i="1"/>
  <c r="V17" i="1"/>
  <c r="AC17" i="1"/>
  <c r="N18" i="1"/>
  <c r="N1" i="1" s="1"/>
  <c r="Q18" i="1"/>
  <c r="M18" i="1"/>
  <c r="M1" i="1" s="1"/>
  <c r="I18" i="1"/>
  <c r="I1" i="1" s="1"/>
  <c r="H18" i="1"/>
  <c r="H1" i="1" s="1"/>
  <c r="L18" i="1"/>
  <c r="L1" i="1" s="1"/>
  <c r="F19" i="1"/>
  <c r="R18" i="1"/>
  <c r="J18" i="1"/>
  <c r="J1" i="1" s="1"/>
  <c r="K18" i="1"/>
  <c r="K1" i="1" s="1"/>
  <c r="F1" i="1"/>
  <c r="AA17" i="1" l="1"/>
  <c r="AB17" i="1" s="1"/>
  <c r="F20" i="1"/>
  <c r="J19" i="1"/>
  <c r="H19" i="1"/>
  <c r="L19" i="1"/>
  <c r="M19" i="1"/>
  <c r="N19" i="1"/>
  <c r="R19" i="1"/>
  <c r="I19" i="1"/>
  <c r="Q19" i="1"/>
  <c r="K19" i="1"/>
  <c r="O18" i="1"/>
  <c r="O1" i="1" s="1"/>
  <c r="Y18" i="1"/>
  <c r="Y1" i="1" s="1"/>
  <c r="Z18" i="1"/>
  <c r="Z1" i="1" s="1"/>
  <c r="X18" i="1"/>
  <c r="X1" i="1" s="1"/>
  <c r="T18" i="1"/>
  <c r="T1" i="1" s="1"/>
  <c r="V18" i="1"/>
  <c r="V1" i="1" s="1"/>
  <c r="AC18" i="1"/>
  <c r="Q1" i="1"/>
  <c r="W18" i="1"/>
  <c r="W1" i="1" s="1"/>
  <c r="R1" i="1"/>
  <c r="T19" i="1" l="1"/>
  <c r="X19" i="1"/>
  <c r="Y19" i="1"/>
  <c r="V19" i="1"/>
  <c r="Z19" i="1"/>
  <c r="W19" i="1"/>
  <c r="AC19" i="1"/>
  <c r="O19" i="1"/>
  <c r="AA18" i="1"/>
  <c r="F21" i="1"/>
  <c r="H20" i="1"/>
  <c r="L20" i="1"/>
  <c r="M20" i="1"/>
  <c r="N20" i="1"/>
  <c r="K20" i="1"/>
  <c r="R20" i="1"/>
  <c r="I20" i="1"/>
  <c r="Q20" i="1"/>
  <c r="J20" i="1"/>
  <c r="Y20" i="1" l="1"/>
  <c r="V20" i="1"/>
  <c r="Z20" i="1"/>
  <c r="AC20" i="1"/>
  <c r="T20" i="1"/>
  <c r="X20" i="1"/>
  <c r="W20" i="1"/>
  <c r="AA19" i="1"/>
  <c r="AB19" i="1" s="1"/>
  <c r="O20" i="1"/>
  <c r="AB18" i="1"/>
  <c r="AA1" i="1"/>
  <c r="F22" i="1"/>
  <c r="M21" i="1"/>
  <c r="N21" i="1"/>
  <c r="H21" i="1"/>
  <c r="L21" i="1"/>
  <c r="J21" i="1"/>
  <c r="R21" i="1"/>
  <c r="I21" i="1"/>
  <c r="K21" i="1"/>
  <c r="Q21" i="1"/>
  <c r="Y21" i="1" l="1"/>
  <c r="V21" i="1"/>
  <c r="Z21" i="1"/>
  <c r="W21" i="1"/>
  <c r="AC21" i="1"/>
  <c r="T21" i="1"/>
  <c r="X21" i="1"/>
  <c r="AA20" i="1"/>
  <c r="AB20" i="1" s="1"/>
  <c r="O21" i="1"/>
  <c r="F23" i="1"/>
  <c r="N22" i="1"/>
  <c r="R22" i="1"/>
  <c r="I22" i="1"/>
  <c r="H22" i="1"/>
  <c r="L22" i="1"/>
  <c r="Q22" i="1"/>
  <c r="M22" i="1"/>
  <c r="J22" i="1"/>
  <c r="K22" i="1"/>
  <c r="AB1" i="1"/>
  <c r="Y22" i="1" l="1"/>
  <c r="V22" i="1"/>
  <c r="Z22" i="1"/>
  <c r="W22" i="1"/>
  <c r="AC22" i="1"/>
  <c r="T22" i="1"/>
  <c r="X22" i="1"/>
  <c r="AA21" i="1"/>
  <c r="AB21" i="1" s="1"/>
  <c r="B31" i="2"/>
  <c r="O22" i="1"/>
  <c r="F24" i="1"/>
  <c r="F25" i="1" s="1"/>
  <c r="H23" i="1"/>
  <c r="L23" i="1"/>
  <c r="M23" i="1"/>
  <c r="J23" i="1"/>
  <c r="N23" i="1"/>
  <c r="Q23" i="1"/>
  <c r="R23" i="1"/>
  <c r="K23" i="1"/>
  <c r="I23" i="1"/>
  <c r="N25" i="1" l="1"/>
  <c r="Q25" i="1"/>
  <c r="I25" i="1"/>
  <c r="R25" i="1"/>
  <c r="K25" i="1"/>
  <c r="M25" i="1"/>
  <c r="L25" i="1"/>
  <c r="H25" i="1"/>
  <c r="O25" i="1" s="1"/>
  <c r="J25" i="1"/>
  <c r="AA22" i="1"/>
  <c r="AB22" i="1" s="1"/>
  <c r="Y23" i="1"/>
  <c r="V23" i="1"/>
  <c r="Z23" i="1"/>
  <c r="W23" i="1"/>
  <c r="T23" i="1"/>
  <c r="X23" i="1"/>
  <c r="AC23" i="1"/>
  <c r="O23" i="1"/>
  <c r="H24" i="1"/>
  <c r="L24" i="1"/>
  <c r="M24" i="1"/>
  <c r="N24" i="1"/>
  <c r="K24" i="1"/>
  <c r="J24" i="1"/>
  <c r="R24" i="1"/>
  <c r="Q24" i="1"/>
  <c r="I24" i="1"/>
  <c r="T25" i="1" l="1"/>
  <c r="AC25" i="1"/>
  <c r="Y25" i="1"/>
  <c r="Z25" i="1"/>
  <c r="W25" i="1"/>
  <c r="X25" i="1"/>
  <c r="V25" i="1"/>
  <c r="AA25" i="1" s="1"/>
  <c r="AB25" i="1" s="1"/>
  <c r="AA23" i="1"/>
  <c r="AB23" i="1" s="1"/>
  <c r="W24" i="1"/>
  <c r="T24" i="1"/>
  <c r="X24" i="1"/>
  <c r="Y24" i="1"/>
  <c r="V24" i="1"/>
  <c r="Z24" i="1"/>
  <c r="AC24" i="1"/>
  <c r="O24" i="1"/>
  <c r="AC26" i="1" l="1"/>
  <c r="B28" i="2" s="1"/>
  <c r="AA24" i="1"/>
  <c r="B29" i="2"/>
  <c r="AB24" i="1" l="1"/>
  <c r="AB26" i="1" s="1"/>
  <c r="B30" i="2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Saqib Qureshi</author>
    <author>Caqib Qureshi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Dearness Allowance</t>
        </r>
      </text>
    </comment>
    <comment ref="I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City Compensation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Hill &amp; Fuel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Special Grade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House Rent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Caqib Qureshi:</t>
        </r>
        <r>
          <rPr>
            <sz val="9"/>
            <color indexed="81"/>
            <rFont val="Tahoma"/>
            <family val="2"/>
          </rPr>
          <t xml:space="preserve">
Learning Allowance
</t>
        </r>
      </text>
    </comment>
    <comment ref="R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Additional CAIIB Increment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Dearness Allowance</t>
        </r>
      </text>
    </comment>
    <comment ref="U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City Compensation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Hill &amp; Fuel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Special Grade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House Rent Allowance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Caqib Qureshi:</t>
        </r>
        <r>
          <rPr>
            <sz val="9"/>
            <color indexed="81"/>
            <rFont val="Tahoma"/>
            <family val="2"/>
          </rPr>
          <t xml:space="preserve">
Learning Allowance
</t>
        </r>
      </text>
    </comment>
  </commentList>
</comments>
</file>

<file path=xl/sharedStrings.xml><?xml version="1.0" encoding="utf-8"?>
<sst xmlns="http://schemas.openxmlformats.org/spreadsheetml/2006/main" count="207" uniqueCount="77">
  <si>
    <t>Totals</t>
  </si>
  <si>
    <t>Month</t>
  </si>
  <si>
    <t>Basic Salary</t>
  </si>
  <si>
    <t>DA 
%age</t>
  </si>
  <si>
    <t>DA</t>
  </si>
  <si>
    <t>CCA</t>
  </si>
  <si>
    <t>HFA</t>
  </si>
  <si>
    <t>SGA</t>
  </si>
  <si>
    <t>HRA</t>
  </si>
  <si>
    <t>Scale</t>
  </si>
  <si>
    <t>Increment Month</t>
  </si>
  <si>
    <t>I</t>
  </si>
  <si>
    <t>S.NO</t>
  </si>
  <si>
    <t>Exisiting B.Pay</t>
  </si>
  <si>
    <t>Revised B. pay</t>
  </si>
  <si>
    <t>II</t>
  </si>
  <si>
    <t>III</t>
  </si>
  <si>
    <t>IV</t>
  </si>
  <si>
    <t>Helper</t>
  </si>
  <si>
    <t>Retirement Plan</t>
  </si>
  <si>
    <t>HRA Capital Cost Eligible</t>
  </si>
  <si>
    <t>Areas</t>
  </si>
  <si>
    <t>Rates</t>
  </si>
  <si>
    <t>Major ‘A’ Class Cities and Project Area Centres in Group A.</t>
  </si>
  <si>
    <t>Other Places in Area-I and Project Area Centres in Group B and State of Goa.</t>
  </si>
  <si>
    <t>Other Places</t>
  </si>
  <si>
    <t>Change I</t>
  </si>
  <si>
    <t>Change II</t>
  </si>
  <si>
    <t xml:space="preserve">Applicable as on </t>
  </si>
  <si>
    <t>Medical</t>
  </si>
  <si>
    <t>Existing</t>
  </si>
  <si>
    <t>Renewed</t>
  </si>
  <si>
    <t>S.No</t>
  </si>
  <si>
    <t>Places in Area-I and in the State of Goa</t>
  </si>
  <si>
    <t>Places with population of 5 lakhs &amp; over and State Capitals and Chandigarh</t>
  </si>
  <si>
    <t>Old</t>
  </si>
  <si>
    <t>Area CCA</t>
  </si>
  <si>
    <t>%age of Pay</t>
  </si>
  <si>
    <t>Others</t>
  </si>
  <si>
    <t>Special Pay</t>
  </si>
  <si>
    <t>New</t>
  </si>
  <si>
    <t>Basic</t>
  </si>
  <si>
    <t>Date</t>
  </si>
  <si>
    <t>Change III</t>
  </si>
  <si>
    <t>Change IV</t>
  </si>
  <si>
    <t>Hill &amp; Fuel Allowance</t>
  </si>
  <si>
    <t>Places with an altitude of 3000 meters and above.</t>
  </si>
  <si>
    <t>Places with an altitude of 1000 meters and above but less than 1500 meters and Mercara town</t>
  </si>
  <si>
    <t>Places with an altitude of 1500 meters and above but less than 3000 meters.</t>
  </si>
  <si>
    <t>LA</t>
  </si>
  <si>
    <t>New Income</t>
  </si>
  <si>
    <t>Old Income</t>
  </si>
  <si>
    <t>Total Arrears</t>
  </si>
  <si>
    <t>Basic Diff</t>
  </si>
  <si>
    <t>Current Increase in Salary</t>
  </si>
  <si>
    <t>Track Changes</t>
  </si>
  <si>
    <t>Results</t>
  </si>
  <si>
    <t>Med All</t>
  </si>
  <si>
    <t>Date of Eligibilty of HRA CC</t>
  </si>
  <si>
    <t>Go to Calculations</t>
  </si>
  <si>
    <t>No</t>
  </si>
  <si>
    <t>* Risk / Lunch / Petrol / Newpaper / Mobile not included in calculations</t>
  </si>
  <si>
    <t xml:space="preserve">* Tentative Calculator. </t>
  </si>
  <si>
    <t>* May Not provide Exact Calculations for Stagnant Pay Employees</t>
  </si>
  <si>
    <t>V</t>
  </si>
  <si>
    <t>Taxable Income for 2023-24^</t>
  </si>
  <si>
    <t>CAIIB Completion Date (Select Earliest)</t>
  </si>
  <si>
    <t>Inc</t>
  </si>
  <si>
    <t>Next Inc</t>
  </si>
  <si>
    <t>12th BiPartite Arrears and Salary Calculator</t>
  </si>
  <si>
    <t>CAIIB</t>
  </si>
  <si>
    <t>Disclaimer</t>
  </si>
  <si>
    <t>NPS</t>
  </si>
  <si>
    <t>7298 17 6060 - Version 4 (2024)</t>
  </si>
  <si>
    <t>Difference</t>
  </si>
  <si>
    <t>\</t>
  </si>
  <si>
    <t>(aeiro.com)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</si>
</sst>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  <numFmt numFmtId="166" formatCode="_ &quot;₹&quot;\ * #,##0_ ;_ &quot;₹&quot;\ * \-#,##0_ ;_ &quot;₹&quot;\ * &quot;-&quot;??_ ;_ @_ "/>
    <numFmt numFmtId="167" formatCode="mmmm\ yyyy"/>
    <numFmt numFmtId="168" formatCode="mmmm\ yy"/>
    <numFmt numFmtId="169" formatCode="mm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Bauhaus 93"/>
      <family val="5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u/>
      <sz val="11"/>
      <color rgb="FF0070C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8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7"/>
      <name val="Calibri"/>
      <family val="2"/>
      <scheme val="minor"/>
    </font>
    <font>
      <sz val="24"/>
      <color theme="7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1"/>
      <color rgb="FFFFFF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22"/>
      <color theme="7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7" tint="0.59999389629810485"/>
        </stop>
        <stop position="1">
          <color theme="9" tint="0.59999389629810485"/>
        </stop>
      </gradient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270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7"/>
      </left>
      <right/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7"/>
      </top>
      <bottom/>
      <diagonal/>
    </border>
    <border>
      <left style="medium">
        <color indexed="64"/>
      </left>
      <right/>
      <top style="thin">
        <color theme="7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theme="7" tint="0.39994506668294322"/>
      </left>
      <right style="double">
        <color theme="7" tint="0.39994506668294322"/>
      </right>
      <top style="double">
        <color theme="7" tint="0.39994506668294322"/>
      </top>
      <bottom/>
      <diagonal/>
    </border>
    <border>
      <left style="double">
        <color theme="7" tint="0.39994506668294322"/>
      </left>
      <right style="double">
        <color theme="7" tint="0.39994506668294322"/>
      </right>
      <top/>
      <bottom/>
      <diagonal/>
    </border>
    <border>
      <left style="double">
        <color theme="7" tint="0.39994506668294322"/>
      </left>
      <right/>
      <top/>
      <bottom/>
      <diagonal/>
    </border>
    <border>
      <left style="double">
        <color theme="7" tint="0.399945066682943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theme="7" tint="0.399945066682943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theme="7" tint="0.39994506668294322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168" fontId="0" fillId="0" borderId="0" xfId="0" applyNumberFormat="1"/>
    <xf numFmtId="169" fontId="0" fillId="0" borderId="0" xfId="0" applyNumberFormat="1"/>
    <xf numFmtId="0" fontId="4" fillId="0" borderId="0" xfId="0" applyFont="1" applyProtection="1">
      <protection hidden="1"/>
    </xf>
    <xf numFmtId="0" fontId="4" fillId="5" borderId="0" xfId="0" applyFont="1" applyFill="1" applyAlignment="1" applyProtection="1">
      <alignment horizontal="center"/>
      <protection hidden="1"/>
    </xf>
    <xf numFmtId="167" fontId="10" fillId="4" borderId="14" xfId="4" applyNumberFormat="1" applyFont="1" applyFill="1" applyBorder="1" applyAlignment="1" applyProtection="1">
      <alignment horizontal="center"/>
      <protection hidden="1"/>
    </xf>
    <xf numFmtId="164" fontId="4" fillId="7" borderId="2" xfId="1" applyNumberFormat="1" applyFont="1" applyFill="1" applyBorder="1" applyProtection="1">
      <protection hidden="1"/>
    </xf>
    <xf numFmtId="164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9" fontId="4" fillId="0" borderId="0" xfId="3" applyFont="1" applyProtection="1">
      <protection hidden="1"/>
    </xf>
    <xf numFmtId="0" fontId="3" fillId="2" borderId="28" xfId="0" applyFont="1" applyFill="1" applyBorder="1" applyAlignment="1" applyProtection="1">
      <alignment horizontal="center"/>
      <protection hidden="1"/>
    </xf>
    <xf numFmtId="164" fontId="4" fillId="2" borderId="4" xfId="1" applyNumberFormat="1" applyFont="1" applyFill="1" applyBorder="1" applyProtection="1">
      <protection hidden="1"/>
    </xf>
    <xf numFmtId="164" fontId="4" fillId="3" borderId="4" xfId="1" applyNumberFormat="1" applyFont="1" applyFill="1" applyBorder="1" applyProtection="1"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9" fontId="4" fillId="5" borderId="29" xfId="3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center"/>
      <protection hidden="1"/>
    </xf>
    <xf numFmtId="9" fontId="4" fillId="5" borderId="13" xfId="3" applyFont="1" applyFill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167" fontId="6" fillId="4" borderId="30" xfId="4" applyNumberFormat="1" applyFont="1" applyFill="1" applyBorder="1" applyAlignment="1" applyProtection="1">
      <protection hidden="1"/>
    </xf>
    <xf numFmtId="167" fontId="6" fillId="4" borderId="31" xfId="4" applyNumberFormat="1" applyFont="1" applyFill="1" applyBorder="1" applyAlignment="1" applyProtection="1">
      <protection hidden="1"/>
    </xf>
    <xf numFmtId="0" fontId="4" fillId="5" borderId="22" xfId="0" applyFont="1" applyFill="1" applyBorder="1" applyAlignment="1" applyProtection="1">
      <alignment horizontal="center"/>
      <protection hidden="1"/>
    </xf>
    <xf numFmtId="164" fontId="4" fillId="2" borderId="28" xfId="1" applyNumberFormat="1" applyFont="1" applyFill="1" applyBorder="1" applyProtection="1">
      <protection hidden="1"/>
    </xf>
    <xf numFmtId="164" fontId="4" fillId="2" borderId="11" xfId="1" applyNumberFormat="1" applyFont="1" applyFill="1" applyBorder="1" applyProtection="1">
      <protection hidden="1"/>
    </xf>
    <xf numFmtId="164" fontId="4" fillId="2" borderId="18" xfId="1" applyNumberFormat="1" applyFont="1" applyFill="1" applyBorder="1" applyProtection="1">
      <protection hidden="1"/>
    </xf>
    <xf numFmtId="164" fontId="4" fillId="3" borderId="18" xfId="1" applyNumberFormat="1" applyFont="1" applyFill="1" applyBorder="1" applyProtection="1">
      <protection hidden="1"/>
    </xf>
    <xf numFmtId="164" fontId="4" fillId="2" borderId="19" xfId="1" applyNumberFormat="1" applyFont="1" applyFill="1" applyBorder="1" applyProtection="1">
      <protection hidden="1"/>
    </xf>
    <xf numFmtId="164" fontId="4" fillId="0" borderId="0" xfId="3" applyNumberFormat="1" applyFont="1" applyProtection="1">
      <protection hidden="1"/>
    </xf>
    <xf numFmtId="0" fontId="0" fillId="11" borderId="1" xfId="0" applyFill="1" applyBorder="1"/>
    <xf numFmtId="0" fontId="0" fillId="11" borderId="0" xfId="0" applyFill="1"/>
    <xf numFmtId="0" fontId="0" fillId="4" borderId="1" xfId="0" applyFill="1" applyBorder="1"/>
    <xf numFmtId="0" fontId="0" fillId="4" borderId="0" xfId="0" applyFill="1"/>
    <xf numFmtId="164" fontId="4" fillId="15" borderId="0" xfId="1" applyNumberFormat="1" applyFont="1" applyFill="1" applyBorder="1" applyProtection="1">
      <protection hidden="1"/>
    </xf>
    <xf numFmtId="0" fontId="4" fillId="15" borderId="22" xfId="0" applyFont="1" applyFill="1" applyBorder="1" applyAlignment="1" applyProtection="1">
      <alignment horizontal="center"/>
      <protection hidden="1"/>
    </xf>
    <xf numFmtId="164" fontId="4" fillId="15" borderId="44" xfId="1" applyNumberFormat="1" applyFont="1" applyFill="1" applyBorder="1" applyProtection="1">
      <protection hidden="1"/>
    </xf>
    <xf numFmtId="164" fontId="4" fillId="15" borderId="45" xfId="1" applyNumberFormat="1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4" fillId="15" borderId="0" xfId="0" applyFont="1" applyFill="1" applyAlignment="1" applyProtection="1">
      <alignment horizontal="center"/>
      <protection hidden="1"/>
    </xf>
    <xf numFmtId="9" fontId="4" fillId="15" borderId="0" xfId="3" applyFont="1" applyFill="1" applyProtection="1">
      <protection hidden="1"/>
    </xf>
    <xf numFmtId="10" fontId="21" fillId="6" borderId="1" xfId="3" applyNumberFormat="1" applyFont="1" applyFill="1" applyBorder="1" applyProtection="1">
      <protection hidden="1"/>
    </xf>
    <xf numFmtId="10" fontId="21" fillId="6" borderId="4" xfId="3" applyNumberFormat="1" applyFont="1" applyFill="1" applyBorder="1" applyProtection="1">
      <protection hidden="1"/>
    </xf>
    <xf numFmtId="164" fontId="17" fillId="9" borderId="30" xfId="1" applyNumberFormat="1" applyFont="1" applyFill="1" applyBorder="1" applyProtection="1">
      <protection hidden="1"/>
    </xf>
    <xf numFmtId="10" fontId="17" fillId="6" borderId="14" xfId="3" applyNumberFormat="1" applyFont="1" applyFill="1" applyBorder="1" applyProtection="1">
      <protection hidden="1"/>
    </xf>
    <xf numFmtId="164" fontId="17" fillId="9" borderId="14" xfId="1" applyNumberFormat="1" applyFont="1" applyFill="1" applyBorder="1" applyProtection="1">
      <protection hidden="1"/>
    </xf>
    <xf numFmtId="165" fontId="17" fillId="9" borderId="14" xfId="1" applyNumberFormat="1" applyFont="1" applyFill="1" applyBorder="1" applyProtection="1">
      <protection hidden="1"/>
    </xf>
    <xf numFmtId="164" fontId="17" fillId="10" borderId="1" xfId="1" applyNumberFormat="1" applyFont="1" applyFill="1" applyBorder="1" applyProtection="1">
      <protection hidden="1"/>
    </xf>
    <xf numFmtId="164" fontId="17" fillId="7" borderId="28" xfId="1" applyNumberFormat="1" applyFont="1" applyFill="1" applyBorder="1" applyProtection="1">
      <protection hidden="1"/>
    </xf>
    <xf numFmtId="164" fontId="21" fillId="10" borderId="9" xfId="1" applyNumberFormat="1" applyFont="1" applyFill="1" applyBorder="1" applyProtection="1">
      <protection hidden="1"/>
    </xf>
    <xf numFmtId="164" fontId="21" fillId="10" borderId="1" xfId="1" applyNumberFormat="1" applyFont="1" applyFill="1" applyBorder="1" applyProtection="1">
      <protection hidden="1"/>
    </xf>
    <xf numFmtId="165" fontId="21" fillId="10" borderId="1" xfId="1" applyNumberFormat="1" applyFont="1" applyFill="1" applyBorder="1" applyProtection="1">
      <protection hidden="1"/>
    </xf>
    <xf numFmtId="164" fontId="21" fillId="10" borderId="3" xfId="1" applyNumberFormat="1" applyFont="1" applyFill="1" applyBorder="1" applyProtection="1">
      <protection hidden="1"/>
    </xf>
    <xf numFmtId="165" fontId="21" fillId="10" borderId="4" xfId="1" applyNumberFormat="1" applyFont="1" applyFill="1" applyBorder="1" applyProtection="1">
      <protection hidden="1"/>
    </xf>
    <xf numFmtId="0" fontId="0" fillId="6" borderId="0" xfId="0" applyFill="1" applyProtection="1"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4" borderId="15" xfId="0" applyFont="1" applyFill="1" applyBorder="1" applyProtection="1">
      <protection hidden="1"/>
    </xf>
    <xf numFmtId="0" fontId="0" fillId="15" borderId="38" xfId="0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15" borderId="39" xfId="0" applyFill="1" applyBorder="1" applyProtection="1">
      <protection hidden="1"/>
    </xf>
    <xf numFmtId="0" fontId="11" fillId="16" borderId="35" xfId="0" applyFont="1" applyFill="1" applyBorder="1" applyAlignment="1" applyProtection="1">
      <alignment horizontal="center" vertical="center" wrapText="1"/>
      <protection hidden="1"/>
    </xf>
    <xf numFmtId="0" fontId="11" fillId="16" borderId="17" xfId="0" applyFont="1" applyFill="1" applyBorder="1" applyAlignment="1" applyProtection="1">
      <alignment horizontal="center" vertical="center" wrapText="1"/>
      <protection hidden="1"/>
    </xf>
    <xf numFmtId="0" fontId="0" fillId="16" borderId="7" xfId="0" applyFill="1" applyBorder="1" applyAlignment="1" applyProtection="1">
      <alignment horizontal="center"/>
      <protection hidden="1"/>
    </xf>
    <xf numFmtId="0" fontId="11" fillId="16" borderId="17" xfId="0" applyFont="1" applyFill="1" applyBorder="1" applyAlignment="1" applyProtection="1">
      <alignment horizontal="left" vertical="center" wrapText="1"/>
      <protection hidden="1"/>
    </xf>
    <xf numFmtId="9" fontId="11" fillId="4" borderId="7" xfId="0" applyNumberFormat="1" applyFont="1" applyFill="1" applyBorder="1" applyAlignment="1" applyProtection="1">
      <alignment horizontal="center" vertical="center" wrapText="1"/>
      <protection hidden="1"/>
    </xf>
    <xf numFmtId="9" fontId="11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Protection="1">
      <protection hidden="1"/>
    </xf>
    <xf numFmtId="168" fontId="0" fillId="6" borderId="0" xfId="0" applyNumberFormat="1" applyFill="1" applyAlignment="1" applyProtection="1">
      <alignment horizontal="center"/>
      <protection hidden="1"/>
    </xf>
    <xf numFmtId="0" fontId="11" fillId="9" borderId="35" xfId="0" applyFont="1" applyFill="1" applyBorder="1" applyAlignment="1" applyProtection="1">
      <alignment horizontal="center" vertical="top" wrapText="1"/>
      <protection hidden="1"/>
    </xf>
    <xf numFmtId="0" fontId="22" fillId="15" borderId="17" xfId="0" applyFont="1" applyFill="1" applyBorder="1" applyAlignment="1" applyProtection="1">
      <alignment horizontal="center" vertical="top" wrapText="1"/>
      <protection hidden="1"/>
    </xf>
    <xf numFmtId="0" fontId="11" fillId="9" borderId="17" xfId="0" applyFont="1" applyFill="1" applyBorder="1" applyAlignment="1" applyProtection="1">
      <alignment horizontal="center" vertical="top" wrapText="1"/>
      <protection hidden="1"/>
    </xf>
    <xf numFmtId="0" fontId="11" fillId="11" borderId="7" xfId="0" applyFont="1" applyFill="1" applyBorder="1" applyAlignment="1" applyProtection="1">
      <alignment horizontal="center" vertical="top" wrapText="1"/>
      <protection hidden="1"/>
    </xf>
    <xf numFmtId="0" fontId="11" fillId="9" borderId="36" xfId="0" applyFont="1" applyFill="1" applyBorder="1" applyAlignment="1" applyProtection="1">
      <alignment horizontal="center" vertical="top" wrapText="1"/>
      <protection hidden="1"/>
    </xf>
    <xf numFmtId="0" fontId="11" fillId="9" borderId="27" xfId="0" applyFont="1" applyFill="1" applyBorder="1" applyAlignment="1" applyProtection="1">
      <alignment horizontal="left" vertical="top" wrapText="1"/>
      <protection hidden="1"/>
    </xf>
    <xf numFmtId="9" fontId="11" fillId="9" borderId="27" xfId="0" applyNumberFormat="1" applyFont="1" applyFill="1" applyBorder="1" applyAlignment="1" applyProtection="1">
      <alignment horizontal="center" vertical="top" wrapText="1"/>
      <protection hidden="1"/>
    </xf>
    <xf numFmtId="0" fontId="11" fillId="9" borderId="27" xfId="0" applyFont="1" applyFill="1" applyBorder="1" applyAlignment="1" applyProtection="1">
      <alignment horizontal="center" vertical="top" wrapText="1"/>
      <protection hidden="1"/>
    </xf>
    <xf numFmtId="0" fontId="11" fillId="11" borderId="27" xfId="0" applyFont="1" applyFill="1" applyBorder="1" applyAlignment="1" applyProtection="1">
      <alignment horizontal="center" vertical="top" wrapText="1"/>
      <protection hidden="1"/>
    </xf>
    <xf numFmtId="0" fontId="11" fillId="9" borderId="37" xfId="0" applyFont="1" applyFill="1" applyBorder="1" applyAlignment="1" applyProtection="1">
      <alignment horizontal="center" vertical="top" wrapText="1"/>
      <protection hidden="1"/>
    </xf>
    <xf numFmtId="0" fontId="11" fillId="9" borderId="34" xfId="0" applyFont="1" applyFill="1" applyBorder="1" applyAlignment="1" applyProtection="1">
      <alignment horizontal="left" vertical="top" wrapText="1"/>
      <protection hidden="1"/>
    </xf>
    <xf numFmtId="9" fontId="11" fillId="9" borderId="34" xfId="0" applyNumberFormat="1" applyFont="1" applyFill="1" applyBorder="1" applyAlignment="1" applyProtection="1">
      <alignment horizontal="center" vertical="top" wrapText="1"/>
      <protection hidden="1"/>
    </xf>
    <xf numFmtId="0" fontId="11" fillId="9" borderId="34" xfId="0" applyFont="1" applyFill="1" applyBorder="1" applyAlignment="1" applyProtection="1">
      <alignment horizontal="center" vertical="top" wrapText="1"/>
      <protection hidden="1"/>
    </xf>
    <xf numFmtId="0" fontId="11" fillId="11" borderId="34" xfId="0" applyFont="1" applyFill="1" applyBorder="1" applyAlignment="1" applyProtection="1">
      <alignment horizontal="center" vertical="top" wrapText="1"/>
      <protection hidden="1"/>
    </xf>
    <xf numFmtId="0" fontId="2" fillId="4" borderId="20" xfId="0" applyFont="1" applyFill="1" applyBorder="1" applyProtection="1">
      <protection hidden="1"/>
    </xf>
    <xf numFmtId="0" fontId="2" fillId="4" borderId="46" xfId="0" applyFont="1" applyFill="1" applyBorder="1" applyAlignment="1" applyProtection="1">
      <alignment horizontal="center"/>
      <protection hidden="1"/>
    </xf>
    <xf numFmtId="0" fontId="5" fillId="16" borderId="21" xfId="4" applyFill="1" applyBorder="1" applyAlignment="1" applyProtection="1">
      <alignment horizontal="center"/>
      <protection hidden="1"/>
    </xf>
    <xf numFmtId="0" fontId="5" fillId="8" borderId="21" xfId="4" applyFill="1" applyBorder="1" applyAlignment="1" applyProtection="1">
      <alignment horizontal="center"/>
      <protection hidden="1"/>
    </xf>
    <xf numFmtId="0" fontId="5" fillId="9" borderId="18" xfId="4" applyFill="1" applyBorder="1" applyAlignment="1" applyProtection="1">
      <alignment horizontal="center"/>
      <protection hidden="1"/>
    </xf>
    <xf numFmtId="0" fontId="2" fillId="11" borderId="18" xfId="0" applyFont="1" applyFill="1" applyBorder="1" applyAlignment="1" applyProtection="1">
      <alignment horizontal="center"/>
      <protection hidden="1"/>
    </xf>
    <xf numFmtId="0" fontId="2" fillId="4" borderId="19" xfId="0" applyFont="1" applyFill="1" applyBorder="1" applyAlignment="1" applyProtection="1">
      <alignment horizontal="center"/>
      <protection hidden="1"/>
    </xf>
    <xf numFmtId="0" fontId="11" fillId="9" borderId="17" xfId="0" applyFont="1" applyFill="1" applyBorder="1" applyAlignment="1" applyProtection="1">
      <alignment horizontal="left" vertical="top" wrapText="1"/>
      <protection hidden="1"/>
    </xf>
    <xf numFmtId="9" fontId="11" fillId="9" borderId="17" xfId="0" applyNumberFormat="1" applyFont="1" applyFill="1" applyBorder="1" applyAlignment="1" applyProtection="1">
      <alignment horizontal="center" vertical="top" wrapText="1"/>
      <protection hidden="1"/>
    </xf>
    <xf numFmtId="0" fontId="11" fillId="11" borderId="17" xfId="0" applyFont="1" applyFill="1" applyBorder="1" applyAlignment="1" applyProtection="1">
      <alignment horizontal="center" vertical="top" wrapText="1"/>
      <protection hidden="1"/>
    </xf>
    <xf numFmtId="0" fontId="2" fillId="4" borderId="20" xfId="0" applyFont="1" applyFill="1" applyBorder="1" applyAlignment="1" applyProtection="1">
      <alignment vertical="center" wrapText="1"/>
      <protection hidden="1"/>
    </xf>
    <xf numFmtId="0" fontId="2" fillId="4" borderId="33" xfId="0" applyFont="1" applyFill="1" applyBorder="1" applyAlignment="1" applyProtection="1">
      <alignment vertical="center" wrapText="1"/>
      <protection hidden="1"/>
    </xf>
    <xf numFmtId="0" fontId="11" fillId="11" borderId="35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0" fillId="15" borderId="43" xfId="0" applyFill="1" applyBorder="1" applyProtection="1">
      <protection hidden="1"/>
    </xf>
    <xf numFmtId="10" fontId="11" fillId="4" borderId="17" xfId="0" applyNumberFormat="1" applyFont="1" applyFill="1" applyBorder="1" applyAlignment="1" applyProtection="1">
      <alignment horizontal="center" vertical="center" wrapText="1"/>
      <protection hidden="1"/>
    </xf>
    <xf numFmtId="10" fontId="11" fillId="11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3" xfId="0" applyFont="1" applyFill="1" applyBorder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vertical="center" wrapText="1"/>
      <protection hidden="1"/>
    </xf>
    <xf numFmtId="168" fontId="2" fillId="6" borderId="0" xfId="0" applyNumberFormat="1" applyFont="1" applyFill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9" fontId="11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20" fillId="6" borderId="0" xfId="0" applyFont="1" applyFill="1" applyAlignment="1" applyProtection="1">
      <alignment horizontal="center"/>
      <protection hidden="1"/>
    </xf>
    <xf numFmtId="0" fontId="11" fillId="6" borderId="42" xfId="0" applyFont="1" applyFill="1" applyBorder="1" applyAlignment="1" applyProtection="1">
      <alignment horizontal="center" vertical="center" wrapText="1"/>
      <protection hidden="1"/>
    </xf>
    <xf numFmtId="9" fontId="11" fillId="6" borderId="42" xfId="0" applyNumberFormat="1" applyFont="1" applyFill="1" applyBorder="1" applyAlignment="1" applyProtection="1">
      <alignment horizontal="center" vertical="center" wrapText="1"/>
      <protection hidden="1"/>
    </xf>
    <xf numFmtId="10" fontId="11" fillId="6" borderId="42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35" xfId="0" applyFont="1" applyFill="1" applyBorder="1" applyAlignment="1" applyProtection="1">
      <alignment horizontal="center" vertical="center" wrapText="1"/>
      <protection hidden="1"/>
    </xf>
    <xf numFmtId="0" fontId="2" fillId="8" borderId="17" xfId="0" applyFont="1" applyFill="1" applyBorder="1" applyAlignment="1" applyProtection="1">
      <alignment horizontal="left" vertical="center" wrapText="1"/>
      <protection hidden="1"/>
    </xf>
    <xf numFmtId="9" fontId="2" fillId="8" borderId="17" xfId="0" applyNumberFormat="1" applyFont="1" applyFill="1" applyBorder="1" applyAlignment="1" applyProtection="1">
      <alignment horizontal="center"/>
      <protection hidden="1"/>
    </xf>
    <xf numFmtId="165" fontId="2" fillId="8" borderId="17" xfId="1" applyNumberFormat="1" applyFont="1" applyFill="1" applyBorder="1" applyAlignment="1" applyProtection="1">
      <alignment horizontal="center"/>
      <protection hidden="1"/>
    </xf>
    <xf numFmtId="165" fontId="2" fillId="11" borderId="7" xfId="1" applyNumberFormat="1" applyFont="1" applyFill="1" applyBorder="1" applyAlignment="1" applyProtection="1">
      <alignment horizontal="center"/>
      <protection hidden="1"/>
    </xf>
    <xf numFmtId="166" fontId="18" fillId="15" borderId="16" xfId="2" applyNumberFormat="1" applyFont="1" applyFill="1" applyBorder="1" applyProtection="1">
      <protection hidden="1"/>
    </xf>
    <xf numFmtId="0" fontId="2" fillId="8" borderId="17" xfId="0" applyFont="1" applyFill="1" applyBorder="1" applyAlignment="1" applyProtection="1">
      <alignment horizontal="left" wrapText="1"/>
      <protection hidden="1"/>
    </xf>
    <xf numFmtId="10" fontId="2" fillId="8" borderId="17" xfId="0" applyNumberFormat="1" applyFont="1" applyFill="1" applyBorder="1" applyAlignment="1" applyProtection="1">
      <alignment horizontal="center"/>
      <protection hidden="1"/>
    </xf>
    <xf numFmtId="166" fontId="2" fillId="0" borderId="25" xfId="2" applyNumberFormat="1" applyFont="1" applyBorder="1" applyProtection="1">
      <protection hidden="1"/>
    </xf>
    <xf numFmtId="0" fontId="2" fillId="8" borderId="17" xfId="0" applyFont="1" applyFill="1" applyBorder="1" applyAlignment="1" applyProtection="1">
      <alignment horizontal="left"/>
      <protection hidden="1"/>
    </xf>
    <xf numFmtId="166" fontId="2" fillId="0" borderId="26" xfId="2" applyNumberFormat="1" applyFont="1" applyBorder="1" applyProtection="1"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2" fillId="8" borderId="10" xfId="0" applyFont="1" applyFill="1" applyBorder="1" applyAlignment="1" applyProtection="1">
      <alignment horizontal="left"/>
      <protection hidden="1"/>
    </xf>
    <xf numFmtId="9" fontId="2" fillId="8" borderId="10" xfId="0" applyNumberFormat="1" applyFont="1" applyFill="1" applyBorder="1" applyAlignment="1" applyProtection="1">
      <alignment horizontal="center"/>
      <protection hidden="1"/>
    </xf>
    <xf numFmtId="165" fontId="2" fillId="8" borderId="10" xfId="1" applyNumberFormat="1" applyFont="1" applyFill="1" applyBorder="1" applyAlignment="1" applyProtection="1">
      <alignment horizontal="center"/>
      <protection hidden="1"/>
    </xf>
    <xf numFmtId="165" fontId="2" fillId="8" borderId="5" xfId="1" applyNumberFormat="1" applyFont="1" applyFill="1" applyBorder="1" applyAlignment="1" applyProtection="1">
      <alignment horizontal="center"/>
      <protection hidden="1"/>
    </xf>
    <xf numFmtId="9" fontId="2" fillId="6" borderId="0" xfId="0" applyNumberFormat="1" applyFont="1" applyFill="1" applyAlignment="1" applyProtection="1">
      <alignment horizontal="center"/>
      <protection hidden="1"/>
    </xf>
    <xf numFmtId="165" fontId="2" fillId="6" borderId="0" xfId="1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69" fontId="2" fillId="8" borderId="16" xfId="0" applyNumberFormat="1" applyFont="1" applyFill="1" applyBorder="1" applyAlignment="1" applyProtection="1">
      <alignment horizontal="center"/>
      <protection locked="0" hidden="1"/>
    </xf>
    <xf numFmtId="0" fontId="2" fillId="8" borderId="12" xfId="0" applyFont="1" applyFill="1" applyBorder="1" applyAlignment="1" applyProtection="1">
      <alignment horizontal="center"/>
      <protection locked="0" hidden="1"/>
    </xf>
    <xf numFmtId="168" fontId="2" fillId="8" borderId="15" xfId="0" applyNumberFormat="1" applyFont="1" applyFill="1" applyBorder="1" applyAlignment="1" applyProtection="1">
      <alignment horizontal="center"/>
      <protection locked="0" hidden="1"/>
    </xf>
    <xf numFmtId="168" fontId="2" fillId="8" borderId="1" xfId="0" applyNumberFormat="1" applyFont="1" applyFill="1" applyBorder="1" applyAlignment="1" applyProtection="1">
      <alignment horizontal="center"/>
      <protection locked="0" hidden="1"/>
    </xf>
    <xf numFmtId="0" fontId="2" fillId="8" borderId="1" xfId="0" applyFont="1" applyFill="1" applyBorder="1" applyAlignment="1" applyProtection="1">
      <alignment horizontal="center"/>
      <protection locked="0" hidden="1"/>
    </xf>
    <xf numFmtId="0" fontId="2" fillId="18" borderId="15" xfId="0" applyFont="1" applyFill="1" applyBorder="1" applyAlignment="1" applyProtection="1">
      <alignment vertical="center" wrapText="1"/>
      <protection hidden="1"/>
    </xf>
    <xf numFmtId="0" fontId="0" fillId="18" borderId="0" xfId="0" applyFill="1" applyProtection="1">
      <protection hidden="1"/>
    </xf>
    <xf numFmtId="0" fontId="0" fillId="20" borderId="0" xfId="0" applyFill="1" applyProtection="1">
      <protection hidden="1"/>
    </xf>
    <xf numFmtId="0" fontId="0" fillId="22" borderId="0" xfId="0" applyFill="1" applyProtection="1">
      <protection hidden="1"/>
    </xf>
    <xf numFmtId="164" fontId="4" fillId="4" borderId="15" xfId="0" applyNumberFormat="1" applyFont="1" applyFill="1" applyBorder="1" applyProtection="1">
      <protection hidden="1"/>
    </xf>
    <xf numFmtId="164" fontId="21" fillId="10" borderId="28" xfId="1" applyNumberFormat="1" applyFont="1" applyFill="1" applyBorder="1" applyProtection="1">
      <protection hidden="1"/>
    </xf>
    <xf numFmtId="164" fontId="21" fillId="10" borderId="4" xfId="1" applyNumberFormat="1" applyFont="1" applyFill="1" applyBorder="1" applyProtection="1">
      <protection hidden="1"/>
    </xf>
    <xf numFmtId="164" fontId="10" fillId="0" borderId="0" xfId="0" applyNumberFormat="1" applyFont="1" applyBorder="1" applyProtection="1">
      <protection hidden="1"/>
    </xf>
    <xf numFmtId="164" fontId="4" fillId="0" borderId="48" xfId="0" applyNumberFormat="1" applyFont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0" fontId="15" fillId="13" borderId="20" xfId="0" applyFont="1" applyFill="1" applyBorder="1" applyAlignment="1" applyProtection="1">
      <alignment horizontal="center"/>
      <protection hidden="1"/>
    </xf>
    <xf numFmtId="0" fontId="15" fillId="13" borderId="42" xfId="0" applyFont="1" applyFill="1" applyBorder="1" applyAlignment="1" applyProtection="1">
      <alignment horizontal="center"/>
      <protection hidden="1"/>
    </xf>
    <xf numFmtId="0" fontId="15" fillId="13" borderId="16" xfId="0" applyFont="1" applyFill="1" applyBorder="1" applyAlignment="1" applyProtection="1">
      <alignment horizontal="center"/>
      <protection hidden="1"/>
    </xf>
    <xf numFmtId="0" fontId="2" fillId="8" borderId="20" xfId="0" applyFont="1" applyFill="1" applyBorder="1" applyAlignment="1" applyProtection="1">
      <alignment horizontal="center"/>
      <protection hidden="1"/>
    </xf>
    <xf numFmtId="0" fontId="2" fillId="8" borderId="42" xfId="0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Alignment="1" applyProtection="1">
      <alignment horizontal="center"/>
      <protection hidden="1"/>
    </xf>
    <xf numFmtId="0" fontId="20" fillId="17" borderId="0" xfId="0" applyFont="1" applyFill="1" applyAlignment="1" applyProtection="1">
      <alignment horizontal="center"/>
      <protection hidden="1"/>
    </xf>
    <xf numFmtId="0" fontId="13" fillId="6" borderId="40" xfId="0" applyFont="1" applyFill="1" applyBorder="1" applyAlignment="1" applyProtection="1">
      <alignment horizontal="left" indent="1"/>
      <protection hidden="1"/>
    </xf>
    <xf numFmtId="0" fontId="13" fillId="6" borderId="0" xfId="0" applyFont="1" applyFill="1" applyAlignment="1" applyProtection="1">
      <alignment horizontal="left" indent="1"/>
      <protection hidden="1"/>
    </xf>
    <xf numFmtId="0" fontId="23" fillId="15" borderId="40" xfId="0" applyFont="1" applyFill="1" applyBorder="1" applyAlignment="1" applyProtection="1">
      <alignment horizontal="left" indent="1"/>
      <protection hidden="1"/>
    </xf>
    <xf numFmtId="0" fontId="23" fillId="15" borderId="0" xfId="0" applyFont="1" applyFill="1" applyAlignment="1" applyProtection="1">
      <alignment horizontal="left" indent="1"/>
      <protection hidden="1"/>
    </xf>
    <xf numFmtId="0" fontId="22" fillId="15" borderId="41" xfId="0" applyFont="1" applyFill="1" applyBorder="1" applyAlignment="1" applyProtection="1">
      <alignment horizontal="center"/>
      <protection hidden="1"/>
    </xf>
    <xf numFmtId="0" fontId="22" fillId="15" borderId="42" xfId="0" applyFont="1" applyFill="1" applyBorder="1" applyAlignment="1" applyProtection="1">
      <alignment horizontal="center"/>
      <protection hidden="1"/>
    </xf>
    <xf numFmtId="0" fontId="22" fillId="15" borderId="16" xfId="0" applyFont="1" applyFill="1" applyBorder="1" applyAlignment="1" applyProtection="1">
      <alignment horizontal="center"/>
      <protection hidden="1"/>
    </xf>
    <xf numFmtId="0" fontId="14" fillId="14" borderId="22" xfId="4" applyFont="1" applyFill="1" applyBorder="1" applyAlignment="1" applyProtection="1">
      <alignment horizontal="center" vertical="center" wrapText="1"/>
      <protection hidden="1"/>
    </xf>
    <xf numFmtId="0" fontId="14" fillId="14" borderId="13" xfId="4" applyFont="1" applyFill="1" applyBorder="1" applyAlignment="1" applyProtection="1">
      <alignment horizontal="center" vertical="center"/>
      <protection hidden="1"/>
    </xf>
    <xf numFmtId="0" fontId="14" fillId="14" borderId="12" xfId="4" applyFont="1" applyFill="1" applyBorder="1" applyAlignment="1" applyProtection="1">
      <alignment horizontal="center" vertical="center"/>
      <protection hidden="1"/>
    </xf>
    <xf numFmtId="0" fontId="14" fillId="14" borderId="33" xfId="4" applyFont="1" applyFill="1" applyBorder="1" applyAlignment="1" applyProtection="1">
      <alignment horizontal="center" vertical="center"/>
      <protection hidden="1"/>
    </xf>
    <xf numFmtId="0" fontId="14" fillId="14" borderId="0" xfId="4" applyFont="1" applyFill="1" applyBorder="1" applyAlignment="1" applyProtection="1">
      <alignment horizontal="center" vertical="center"/>
      <protection hidden="1"/>
    </xf>
    <xf numFmtId="0" fontId="14" fillId="14" borderId="2" xfId="4" applyFont="1" applyFill="1" applyBorder="1" applyAlignment="1" applyProtection="1">
      <alignment horizontal="center" vertical="center"/>
      <protection hidden="1"/>
    </xf>
    <xf numFmtId="0" fontId="14" fillId="14" borderId="23" xfId="4" applyFont="1" applyFill="1" applyBorder="1" applyAlignment="1" applyProtection="1">
      <alignment horizontal="center" vertical="center"/>
      <protection hidden="1"/>
    </xf>
    <xf numFmtId="0" fontId="14" fillId="14" borderId="24" xfId="4" applyFont="1" applyFill="1" applyBorder="1" applyAlignment="1" applyProtection="1">
      <alignment horizontal="center" vertical="center"/>
      <protection hidden="1"/>
    </xf>
    <xf numFmtId="0" fontId="14" fillId="14" borderId="25" xfId="4" applyFont="1" applyFill="1" applyBorder="1" applyAlignment="1" applyProtection="1">
      <alignment horizontal="center" vertical="center"/>
      <protection hidden="1"/>
    </xf>
    <xf numFmtId="0" fontId="0" fillId="21" borderId="24" xfId="0" applyFill="1" applyBorder="1" applyAlignment="1" applyProtection="1">
      <alignment horizontal="center"/>
      <protection hidden="1"/>
    </xf>
    <xf numFmtId="0" fontId="11" fillId="6" borderId="47" xfId="0" applyFont="1" applyFill="1" applyBorder="1" applyAlignment="1" applyProtection="1">
      <alignment horizontal="left" vertical="center" wrapText="1"/>
      <protection hidden="1"/>
    </xf>
    <xf numFmtId="0" fontId="11" fillId="6" borderId="13" xfId="0" applyFont="1" applyFill="1" applyBorder="1" applyAlignment="1" applyProtection="1">
      <alignment horizontal="left" vertical="center" wrapText="1"/>
      <protection hidden="1"/>
    </xf>
    <xf numFmtId="0" fontId="22" fillId="19" borderId="1" xfId="0" applyFont="1" applyFill="1" applyBorder="1" applyAlignment="1" applyProtection="1">
      <alignment horizontal="center" vertical="center"/>
      <protection hidden="1"/>
    </xf>
    <xf numFmtId="0" fontId="12" fillId="11" borderId="22" xfId="0" applyFont="1" applyFill="1" applyBorder="1" applyAlignment="1" applyProtection="1">
      <alignment horizontal="center" vertical="center"/>
      <protection hidden="1"/>
    </xf>
    <xf numFmtId="0" fontId="12" fillId="11" borderId="13" xfId="0" applyFont="1" applyFill="1" applyBorder="1" applyAlignment="1" applyProtection="1">
      <alignment horizontal="center" vertical="center"/>
      <protection hidden="1"/>
    </xf>
    <xf numFmtId="0" fontId="12" fillId="11" borderId="12" xfId="0" applyFont="1" applyFill="1" applyBorder="1" applyAlignment="1" applyProtection="1">
      <alignment horizontal="center" vertical="center"/>
      <protection hidden="1"/>
    </xf>
    <xf numFmtId="0" fontId="12" fillId="11" borderId="23" xfId="0" applyFont="1" applyFill="1" applyBorder="1" applyAlignment="1" applyProtection="1">
      <alignment horizontal="center" vertical="center"/>
      <protection hidden="1"/>
    </xf>
    <xf numFmtId="0" fontId="12" fillId="11" borderId="24" xfId="0" applyFont="1" applyFill="1" applyBorder="1" applyAlignment="1" applyProtection="1">
      <alignment horizontal="center" vertical="center"/>
      <protection hidden="1"/>
    </xf>
    <xf numFmtId="0" fontId="12" fillId="11" borderId="25" xfId="0" applyFont="1" applyFill="1" applyBorder="1" applyAlignment="1" applyProtection="1">
      <alignment horizontal="center" vertical="center"/>
      <protection hidden="1"/>
    </xf>
    <xf numFmtId="0" fontId="12" fillId="12" borderId="22" xfId="0" applyFont="1" applyFill="1" applyBorder="1" applyAlignment="1" applyProtection="1">
      <alignment horizontal="center" vertical="center"/>
      <protection hidden="1"/>
    </xf>
    <xf numFmtId="0" fontId="12" fillId="12" borderId="13" xfId="0" applyFont="1" applyFill="1" applyBorder="1" applyAlignment="1" applyProtection="1">
      <alignment horizontal="center" vertical="center"/>
      <protection hidden="1"/>
    </xf>
    <xf numFmtId="0" fontId="12" fillId="12" borderId="12" xfId="0" applyFont="1" applyFill="1" applyBorder="1" applyAlignment="1" applyProtection="1">
      <alignment horizontal="center" vertical="center"/>
      <protection hidden="1"/>
    </xf>
    <xf numFmtId="0" fontId="12" fillId="12" borderId="23" xfId="0" applyFont="1" applyFill="1" applyBorder="1" applyAlignment="1" applyProtection="1">
      <alignment horizontal="center" vertical="center"/>
      <protection hidden="1"/>
    </xf>
    <xf numFmtId="0" fontId="12" fillId="12" borderId="24" xfId="0" applyFont="1" applyFill="1" applyBorder="1" applyAlignment="1" applyProtection="1">
      <alignment horizontal="center" vertical="center"/>
      <protection hidden="1"/>
    </xf>
    <xf numFmtId="0" fontId="12" fillId="12" borderId="25" xfId="0" applyFont="1" applyFill="1" applyBorder="1" applyAlignment="1" applyProtection="1">
      <alignment horizontal="center" vertical="center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0" fontId="24" fillId="19" borderId="1" xfId="0" applyFont="1" applyFill="1" applyBorder="1" applyAlignment="1" applyProtection="1">
      <alignment horizontal="center" vertical="center"/>
      <protection hidden="1"/>
    </xf>
    <xf numFmtId="0" fontId="25" fillId="15" borderId="0" xfId="0" applyFont="1" applyFill="1" applyAlignment="1" applyProtection="1">
      <alignment horizontal="center" vertical="center"/>
      <protection hidden="1"/>
    </xf>
    <xf numFmtId="0" fontId="22" fillId="15" borderId="6" xfId="0" applyFont="1" applyFill="1" applyBorder="1" applyAlignment="1" applyProtection="1">
      <alignment horizontal="center" vertical="center" wrapText="1"/>
      <protection hidden="1"/>
    </xf>
    <xf numFmtId="0" fontId="22" fillId="15" borderId="17" xfId="0" applyFont="1" applyFill="1" applyBorder="1" applyAlignment="1" applyProtection="1">
      <alignment horizontal="center" vertical="center" wrapText="1"/>
      <protection hidden="1"/>
    </xf>
    <xf numFmtId="0" fontId="22" fillId="15" borderId="7" xfId="0" applyFont="1" applyFill="1" applyBorder="1" applyAlignment="1" applyProtection="1">
      <alignment horizontal="center" vertical="center" wrapText="1"/>
      <protection hidden="1"/>
    </xf>
    <xf numFmtId="0" fontId="16" fillId="6" borderId="33" xfId="0" applyFont="1" applyFill="1" applyBorder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42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91440</xdr:rowOff>
    </xdr:from>
    <xdr:to>
      <xdr:col>0</xdr:col>
      <xdr:colOff>1722120</xdr:colOff>
      <xdr:row>3</xdr:row>
      <xdr:rowOff>203572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DE831B-545F-0C86-6B7B-2CDF77AC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640"/>
          <a:ext cx="1341120" cy="67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1874519</xdr:colOff>
      <xdr:row>1</xdr:row>
      <xdr:rowOff>30480</xdr:rowOff>
    </xdr:from>
    <xdr:to>
      <xdr:col>1</xdr:col>
      <xdr:colOff>373380</xdr:colOff>
      <xdr:row>3</xdr:row>
      <xdr:rowOff>230513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2DBA44-173B-D6F5-602A-7DFCABED1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8046" r="64390" b="-1"/>
        <a:stretch/>
      </xdr:blipFill>
      <xdr:spPr>
        <a:xfrm>
          <a:off x="1874519" y="106680"/>
          <a:ext cx="830581" cy="763913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10</xdr:col>
      <xdr:colOff>5097781</xdr:colOff>
      <xdr:row>1</xdr:row>
      <xdr:rowOff>106681</xdr:rowOff>
    </xdr:from>
    <xdr:to>
      <xdr:col>11</xdr:col>
      <xdr:colOff>128766</xdr:colOff>
      <xdr:row>3</xdr:row>
      <xdr:rowOff>175261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F9F205-8E52-E769-0381-F0A145039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8561" y="182881"/>
          <a:ext cx="624065" cy="632460"/>
        </a:xfrm>
        <a:prstGeom prst="rect">
          <a:avLst/>
        </a:prstGeom>
      </xdr:spPr>
    </xdr:pic>
    <xdr:clientData/>
  </xdr:twoCellAnchor>
  <xdr:twoCellAnchor editAs="oneCell">
    <xdr:from>
      <xdr:col>10</xdr:col>
      <xdr:colOff>4196221</xdr:colOff>
      <xdr:row>1</xdr:row>
      <xdr:rowOff>119520</xdr:rowOff>
    </xdr:from>
    <xdr:to>
      <xdr:col>10</xdr:col>
      <xdr:colOff>4998721</xdr:colOff>
      <xdr:row>3</xdr:row>
      <xdr:rowOff>167663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36788F-772F-1C01-E512-B325F664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041" y="195720"/>
          <a:ext cx="802500" cy="612023"/>
        </a:xfrm>
        <a:prstGeom prst="rect">
          <a:avLst/>
        </a:prstGeom>
      </xdr:spPr>
    </xdr:pic>
    <xdr:clientData/>
  </xdr:twoCellAnchor>
  <xdr:twoCellAnchor editAs="oneCell">
    <xdr:from>
      <xdr:col>4</xdr:col>
      <xdr:colOff>175259</xdr:colOff>
      <xdr:row>1</xdr:row>
      <xdr:rowOff>132361</xdr:rowOff>
    </xdr:from>
    <xdr:to>
      <xdr:col>6</xdr:col>
      <xdr:colOff>76200</xdr:colOff>
      <xdr:row>3</xdr:row>
      <xdr:rowOff>189189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F57E64B-0DF1-DCDD-855B-0FFB63E79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29" r="24819"/>
        <a:stretch/>
      </xdr:blipFill>
      <xdr:spPr>
        <a:xfrm>
          <a:off x="4122419" y="208561"/>
          <a:ext cx="571501" cy="620708"/>
        </a:xfrm>
        <a:prstGeom prst="rect">
          <a:avLst/>
        </a:prstGeom>
      </xdr:spPr>
    </xdr:pic>
    <xdr:clientData/>
  </xdr:twoCellAnchor>
  <xdr:twoCellAnchor editAs="oneCell">
    <xdr:from>
      <xdr:col>2</xdr:col>
      <xdr:colOff>69000</xdr:colOff>
      <xdr:row>1</xdr:row>
      <xdr:rowOff>129960</xdr:rowOff>
    </xdr:from>
    <xdr:to>
      <xdr:col>4</xdr:col>
      <xdr:colOff>124765</xdr:colOff>
      <xdr:row>3</xdr:row>
      <xdr:rowOff>190499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240EE11-9B4E-3BF9-9C50-11FF57BC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60" y="206160"/>
          <a:ext cx="665365" cy="624419"/>
        </a:xfrm>
        <a:prstGeom prst="rect">
          <a:avLst/>
        </a:prstGeom>
      </xdr:spPr>
    </xdr:pic>
    <xdr:clientData/>
  </xdr:twoCellAnchor>
  <xdr:twoCellAnchor editAs="oneCell">
    <xdr:from>
      <xdr:col>1</xdr:col>
      <xdr:colOff>386640</xdr:colOff>
      <xdr:row>1</xdr:row>
      <xdr:rowOff>142800</xdr:rowOff>
    </xdr:from>
    <xdr:to>
      <xdr:col>1</xdr:col>
      <xdr:colOff>979170</xdr:colOff>
      <xdr:row>3</xdr:row>
      <xdr:rowOff>190500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03723F3-CBC7-BC01-1721-211C387F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360" y="219000"/>
          <a:ext cx="611580" cy="611580"/>
        </a:xfrm>
        <a:prstGeom prst="rect">
          <a:avLst/>
        </a:prstGeom>
      </xdr:spPr>
    </xdr:pic>
    <xdr:clientData/>
  </xdr:twoCellAnchor>
  <xdr:twoCellAnchor editAs="oneCell">
    <xdr:from>
      <xdr:col>12</xdr:col>
      <xdr:colOff>198121</xdr:colOff>
      <xdr:row>1</xdr:row>
      <xdr:rowOff>106681</xdr:rowOff>
    </xdr:from>
    <xdr:to>
      <xdr:col>13</xdr:col>
      <xdr:colOff>358140</xdr:colOff>
      <xdr:row>3</xdr:row>
      <xdr:rowOff>144780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0ED1B1F-4219-6CD5-B28E-AB05E994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1" y="182881"/>
          <a:ext cx="601979" cy="601979"/>
        </a:xfrm>
        <a:prstGeom prst="rect">
          <a:avLst/>
        </a:prstGeom>
      </xdr:spPr>
    </xdr:pic>
    <xdr:clientData/>
  </xdr:twoCellAnchor>
  <xdr:twoCellAnchor editAs="oneCell">
    <xdr:from>
      <xdr:col>11</xdr:col>
      <xdr:colOff>241440</xdr:colOff>
      <xdr:row>1</xdr:row>
      <xdr:rowOff>119520</xdr:rowOff>
    </xdr:from>
    <xdr:to>
      <xdr:col>12</xdr:col>
      <xdr:colOff>114300</xdr:colOff>
      <xdr:row>3</xdr:row>
      <xdr:rowOff>163633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9200B3E-4C00-5ECB-61EA-92ABF4BA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5300" y="195720"/>
          <a:ext cx="642480" cy="60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37"/>
  <sheetViews>
    <sheetView showGridLines="0" tabSelected="1" workbookViewId="0">
      <selection activeCell="C4" sqref="C4:K4"/>
    </sheetView>
  </sheetViews>
  <sheetFormatPr defaultColWidth="0" defaultRowHeight="14.4" zeroHeight="1" x14ac:dyDescent="0.3"/>
  <cols>
    <col min="1" max="1" width="34" style="67" bestFit="1" customWidth="1"/>
    <col min="2" max="2" width="14.6640625" style="67" customWidth="1"/>
    <col min="3" max="3" width="4.5546875" style="67" bestFit="1" customWidth="1"/>
    <col min="4" max="4" width="4.33203125" style="67" bestFit="1" customWidth="1"/>
    <col min="5" max="5" width="4.44140625" style="67" bestFit="1" customWidth="1"/>
    <col min="6" max="6" width="5.44140625" style="67" bestFit="1" customWidth="1"/>
    <col min="7" max="8" width="8.44140625" style="67" customWidth="1"/>
    <col min="9" max="9" width="1.109375" style="71" customWidth="1"/>
    <col min="10" max="10" width="5.6640625" style="67" bestFit="1" customWidth="1"/>
    <col min="11" max="11" width="81.5546875" style="67" bestFit="1" customWidth="1"/>
    <col min="12" max="12" width="11.109375" style="67" bestFit="1" customWidth="1"/>
    <col min="13" max="14" width="6.44140625" style="67" bestFit="1" customWidth="1"/>
    <col min="15" max="15" width="5" style="65" bestFit="1" customWidth="1"/>
    <col min="16" max="16384" width="8.88671875" style="67" hidden="1"/>
  </cols>
  <sheetData>
    <row r="1" spans="1:14" s="65" customFormat="1" ht="6" customHeight="1" x14ac:dyDescent="0.3"/>
    <row r="2" spans="1:14" ht="22.2" customHeight="1" x14ac:dyDescent="0.3">
      <c r="A2" s="194"/>
      <c r="B2" s="66"/>
      <c r="C2" s="196" t="s">
        <v>69</v>
      </c>
      <c r="D2" s="196"/>
      <c r="E2" s="196"/>
      <c r="F2" s="196"/>
      <c r="G2" s="196"/>
      <c r="H2" s="196"/>
      <c r="I2" s="196"/>
      <c r="J2" s="196"/>
      <c r="K2" s="196"/>
      <c r="L2" s="66"/>
      <c r="M2" s="66"/>
      <c r="N2" s="66"/>
    </row>
    <row r="3" spans="1:14" ht="22.2" customHeight="1" x14ac:dyDescent="0.3">
      <c r="A3" s="194"/>
      <c r="B3" s="66"/>
      <c r="C3" s="195" t="s">
        <v>76</v>
      </c>
      <c r="D3" s="195"/>
      <c r="E3" s="195"/>
      <c r="F3" s="195"/>
      <c r="G3" s="195"/>
      <c r="H3" s="195"/>
      <c r="I3" s="195"/>
      <c r="J3" s="195"/>
      <c r="K3" s="195"/>
      <c r="L3" s="66"/>
      <c r="M3" s="66"/>
      <c r="N3" s="66"/>
    </row>
    <row r="4" spans="1:14" ht="22.2" customHeight="1" x14ac:dyDescent="0.3">
      <c r="A4" s="194"/>
      <c r="B4" s="66"/>
      <c r="C4" s="181" t="s">
        <v>73</v>
      </c>
      <c r="D4" s="181"/>
      <c r="E4" s="181"/>
      <c r="F4" s="181"/>
      <c r="G4" s="181"/>
      <c r="H4" s="181"/>
      <c r="I4" s="181"/>
      <c r="J4" s="181"/>
      <c r="K4" s="181"/>
      <c r="L4" s="66"/>
      <c r="M4" s="66"/>
      <c r="N4" s="66"/>
    </row>
    <row r="5" spans="1:14" s="65" customFormat="1" ht="15" thickBot="1" x14ac:dyDescent="0.35"/>
    <row r="6" spans="1:14" ht="15.6" thickTop="1" thickBot="1" x14ac:dyDescent="0.35">
      <c r="A6" s="68" t="s">
        <v>10</v>
      </c>
      <c r="B6" s="140">
        <v>43891</v>
      </c>
      <c r="C6" s="200" t="str">
        <f>IF(B6="","&lt;----","")</f>
        <v/>
      </c>
      <c r="D6" s="201"/>
      <c r="E6" s="201"/>
      <c r="F6" s="65"/>
      <c r="G6" s="65"/>
      <c r="H6" s="65"/>
      <c r="I6" s="69"/>
      <c r="J6" s="197" t="s">
        <v>8</v>
      </c>
      <c r="K6" s="198"/>
      <c r="L6" s="199"/>
      <c r="M6" s="70"/>
      <c r="N6" s="70"/>
    </row>
    <row r="7" spans="1:14" ht="15" thickBot="1" x14ac:dyDescent="0.35">
      <c r="A7" s="68" t="s">
        <v>19</v>
      </c>
      <c r="B7" s="141" t="s">
        <v>72</v>
      </c>
      <c r="C7" s="200" t="str">
        <f>IF(B7="","&lt;----","")</f>
        <v/>
      </c>
      <c r="D7" s="201"/>
      <c r="E7" s="201"/>
      <c r="F7" s="65"/>
      <c r="G7" s="65"/>
      <c r="H7" s="65"/>
      <c r="J7" s="72" t="s">
        <v>21</v>
      </c>
      <c r="K7" s="73" t="s">
        <v>22</v>
      </c>
      <c r="L7" s="74"/>
      <c r="M7" s="70"/>
      <c r="N7" s="70"/>
    </row>
    <row r="8" spans="1:14" ht="15" thickBot="1" x14ac:dyDescent="0.35">
      <c r="A8" s="68" t="s">
        <v>20</v>
      </c>
      <c r="B8" s="141" t="s">
        <v>60</v>
      </c>
      <c r="C8" s="200" t="str">
        <f>IF(B8="","&lt;----","")</f>
        <v/>
      </c>
      <c r="D8" s="201"/>
      <c r="E8" s="201"/>
      <c r="F8" s="65"/>
      <c r="G8" s="65"/>
      <c r="H8" s="65"/>
      <c r="J8" s="72" t="s">
        <v>11</v>
      </c>
      <c r="K8" s="75" t="s">
        <v>23</v>
      </c>
      <c r="L8" s="76">
        <v>0.09</v>
      </c>
      <c r="M8" s="77">
        <v>0.1</v>
      </c>
      <c r="N8" s="70"/>
    </row>
    <row r="9" spans="1:14" ht="15" thickBot="1" x14ac:dyDescent="0.35">
      <c r="A9" s="68" t="s">
        <v>58</v>
      </c>
      <c r="B9" s="142"/>
      <c r="C9" s="200" t="str">
        <f>IF(AND(B9="",B8="yes"),"&lt;----","")</f>
        <v/>
      </c>
      <c r="D9" s="201"/>
      <c r="E9" s="201"/>
      <c r="F9" s="65"/>
      <c r="G9" s="65"/>
      <c r="H9" s="65"/>
      <c r="J9" s="72" t="s">
        <v>15</v>
      </c>
      <c r="K9" s="75" t="s">
        <v>24</v>
      </c>
      <c r="L9" s="76">
        <v>0.08</v>
      </c>
      <c r="M9" s="77">
        <v>0.09</v>
      </c>
      <c r="N9" s="70"/>
    </row>
    <row r="10" spans="1:14" ht="15" thickBot="1" x14ac:dyDescent="0.35">
      <c r="A10" s="68" t="s">
        <v>66</v>
      </c>
      <c r="B10" s="142">
        <v>44866</v>
      </c>
      <c r="C10" s="65"/>
      <c r="D10" s="65"/>
      <c r="E10" s="65"/>
      <c r="F10" s="65"/>
      <c r="G10" s="65"/>
      <c r="H10" s="65"/>
      <c r="J10" s="72" t="s">
        <v>16</v>
      </c>
      <c r="K10" s="75" t="s">
        <v>25</v>
      </c>
      <c r="L10" s="76">
        <v>7.0000000000000007E-2</v>
      </c>
      <c r="M10" s="77">
        <v>0.08</v>
      </c>
      <c r="N10" s="70"/>
    </row>
    <row r="11" spans="1:14" s="65" customFormat="1" ht="15" thickBot="1" x14ac:dyDescent="0.35">
      <c r="A11" s="78"/>
      <c r="B11" s="79"/>
      <c r="I11" s="71"/>
      <c r="J11" s="70"/>
      <c r="K11" s="70"/>
      <c r="L11" s="70"/>
      <c r="M11" s="70"/>
      <c r="N11" s="70"/>
    </row>
    <row r="12" spans="1:14" ht="29.4" thickBot="1" x14ac:dyDescent="0.35">
      <c r="A12" s="182" t="s">
        <v>55</v>
      </c>
      <c r="B12" s="183"/>
      <c r="C12" s="183"/>
      <c r="D12" s="183"/>
      <c r="E12" s="183"/>
      <c r="F12" s="183"/>
      <c r="G12" s="184"/>
      <c r="H12" s="65"/>
      <c r="J12" s="80" t="s">
        <v>32</v>
      </c>
      <c r="K12" s="81" t="s">
        <v>36</v>
      </c>
      <c r="L12" s="82" t="s">
        <v>37</v>
      </c>
      <c r="M12" s="82" t="s">
        <v>35</v>
      </c>
      <c r="N12" s="83" t="s">
        <v>40</v>
      </c>
    </row>
    <row r="13" spans="1:14" ht="15" thickBot="1" x14ac:dyDescent="0.35">
      <c r="A13" s="185"/>
      <c r="B13" s="186"/>
      <c r="C13" s="186"/>
      <c r="D13" s="186"/>
      <c r="E13" s="186"/>
      <c r="F13" s="186"/>
      <c r="G13" s="187"/>
      <c r="H13" s="65"/>
      <c r="J13" s="84" t="s">
        <v>11</v>
      </c>
      <c r="K13" s="85" t="s">
        <v>33</v>
      </c>
      <c r="L13" s="86">
        <v>0.04</v>
      </c>
      <c r="M13" s="87">
        <v>1400</v>
      </c>
      <c r="N13" s="88">
        <v>2300</v>
      </c>
    </row>
    <row r="14" spans="1:14" ht="15" thickBot="1" x14ac:dyDescent="0.35">
      <c r="A14" s="78"/>
      <c r="B14" s="70"/>
      <c r="C14" s="65"/>
      <c r="D14" s="65"/>
      <c r="E14" s="65"/>
      <c r="F14" s="65"/>
      <c r="G14" s="65"/>
      <c r="H14" s="65"/>
      <c r="J14" s="89" t="s">
        <v>15</v>
      </c>
      <c r="K14" s="90" t="s">
        <v>34</v>
      </c>
      <c r="L14" s="91">
        <v>0.03</v>
      </c>
      <c r="M14" s="92">
        <v>1150</v>
      </c>
      <c r="N14" s="93">
        <v>1900</v>
      </c>
    </row>
    <row r="15" spans="1:14" ht="15" thickBot="1" x14ac:dyDescent="0.35">
      <c r="A15" s="94"/>
      <c r="B15" s="95" t="s">
        <v>42</v>
      </c>
      <c r="C15" s="96" t="s">
        <v>8</v>
      </c>
      <c r="D15" s="97" t="s">
        <v>6</v>
      </c>
      <c r="E15" s="98" t="s">
        <v>5</v>
      </c>
      <c r="F15" s="99" t="s">
        <v>9</v>
      </c>
      <c r="G15" s="100" t="s">
        <v>41</v>
      </c>
      <c r="H15" s="65"/>
      <c r="J15" s="80" t="s">
        <v>16</v>
      </c>
      <c r="K15" s="101" t="s">
        <v>38</v>
      </c>
      <c r="L15" s="102">
        <v>0</v>
      </c>
      <c r="M15" s="82">
        <v>700</v>
      </c>
      <c r="N15" s="103">
        <v>1200</v>
      </c>
    </row>
    <row r="16" spans="1:14" ht="15" thickBot="1" x14ac:dyDescent="0.35">
      <c r="A16" s="104" t="s">
        <v>28</v>
      </c>
      <c r="B16" s="143">
        <v>44866</v>
      </c>
      <c r="C16" s="144" t="s">
        <v>11</v>
      </c>
      <c r="D16" s="144" t="s">
        <v>11</v>
      </c>
      <c r="E16" s="144" t="s">
        <v>15</v>
      </c>
      <c r="F16" s="144" t="s">
        <v>15</v>
      </c>
      <c r="G16" s="144">
        <v>48170</v>
      </c>
      <c r="H16" s="65"/>
      <c r="J16" s="70"/>
      <c r="K16" s="70"/>
      <c r="L16" s="70"/>
      <c r="M16" s="70"/>
      <c r="N16" s="70"/>
    </row>
    <row r="17" spans="1:14" ht="15" thickBot="1" x14ac:dyDescent="0.35">
      <c r="A17" s="105" t="s">
        <v>26</v>
      </c>
      <c r="B17" s="143"/>
      <c r="C17" s="144"/>
      <c r="D17" s="144"/>
      <c r="E17" s="144"/>
      <c r="F17" s="144"/>
      <c r="G17" s="144"/>
      <c r="H17" s="65"/>
      <c r="J17" s="197" t="s">
        <v>39</v>
      </c>
      <c r="K17" s="198"/>
      <c r="L17" s="199"/>
      <c r="M17" s="70"/>
      <c r="N17" s="70"/>
    </row>
    <row r="18" spans="1:14" ht="15" customHeight="1" thickBot="1" x14ac:dyDescent="0.35">
      <c r="A18" s="104" t="s">
        <v>27</v>
      </c>
      <c r="B18" s="143"/>
      <c r="C18" s="144"/>
      <c r="D18" s="144"/>
      <c r="E18" s="144"/>
      <c r="F18" s="144"/>
      <c r="G18" s="144"/>
      <c r="H18" s="65"/>
      <c r="J18" s="106" t="s">
        <v>9</v>
      </c>
      <c r="K18" s="107" t="s">
        <v>35</v>
      </c>
      <c r="L18" s="108" t="s">
        <v>40</v>
      </c>
      <c r="M18" s="70"/>
      <c r="N18" s="70"/>
    </row>
    <row r="19" spans="1:14" ht="15" thickBot="1" x14ac:dyDescent="0.35">
      <c r="A19" s="104" t="s">
        <v>43</v>
      </c>
      <c r="B19" s="143"/>
      <c r="C19" s="144"/>
      <c r="D19" s="144"/>
      <c r="E19" s="144"/>
      <c r="F19" s="144"/>
      <c r="G19" s="144"/>
      <c r="H19" s="65"/>
      <c r="I19" s="109"/>
      <c r="J19" s="106" t="s">
        <v>11</v>
      </c>
      <c r="K19" s="110">
        <v>0.16400000000000001</v>
      </c>
      <c r="L19" s="111">
        <v>0.26500000000000001</v>
      </c>
      <c r="M19" s="70"/>
      <c r="N19" s="70"/>
    </row>
    <row r="20" spans="1:14" ht="15" thickBot="1" x14ac:dyDescent="0.35">
      <c r="A20" s="112" t="s">
        <v>44</v>
      </c>
      <c r="B20" s="143"/>
      <c r="C20" s="144"/>
      <c r="D20" s="144"/>
      <c r="E20" s="144"/>
      <c r="F20" s="144"/>
      <c r="G20" s="144"/>
      <c r="H20" s="65"/>
      <c r="I20" s="109"/>
      <c r="J20" s="106" t="s">
        <v>15</v>
      </c>
      <c r="K20" s="110">
        <v>0.16400000000000001</v>
      </c>
      <c r="L20" s="111">
        <v>0.28299999999999997</v>
      </c>
      <c r="M20" s="70"/>
      <c r="N20" s="70"/>
    </row>
    <row r="21" spans="1:14" ht="15" thickBot="1" x14ac:dyDescent="0.35">
      <c r="A21" s="113"/>
      <c r="B21" s="114"/>
      <c r="C21" s="115"/>
      <c r="D21" s="115"/>
      <c r="E21" s="115"/>
      <c r="F21" s="115"/>
      <c r="G21" s="115"/>
      <c r="H21" s="65"/>
      <c r="I21" s="109"/>
      <c r="J21" s="106" t="s">
        <v>16</v>
      </c>
      <c r="K21" s="110">
        <v>0.16400000000000001</v>
      </c>
      <c r="L21" s="111">
        <v>0.28299999999999997</v>
      </c>
      <c r="M21" s="70"/>
      <c r="N21" s="70"/>
    </row>
    <row r="22" spans="1:14" ht="18.600000000000001" thickBot="1" x14ac:dyDescent="0.4">
      <c r="A22" s="161" t="str">
        <f>IF(OR(B16="",C16="",D16="",E16="",F16="",G16=""),"Enter First Row","")</f>
        <v/>
      </c>
      <c r="B22" s="161"/>
      <c r="C22" s="161"/>
      <c r="D22" s="161"/>
      <c r="E22" s="161"/>
      <c r="F22" s="161"/>
      <c r="G22" s="161"/>
      <c r="H22" s="65"/>
      <c r="I22" s="109"/>
      <c r="J22" s="106" t="s">
        <v>17</v>
      </c>
      <c r="K22" s="116">
        <v>0.19</v>
      </c>
      <c r="L22" s="111">
        <v>0.30499999999999999</v>
      </c>
      <c r="M22" s="70"/>
      <c r="N22" s="70"/>
    </row>
    <row r="23" spans="1:14" ht="18.600000000000001" thickBot="1" x14ac:dyDescent="0.4">
      <c r="A23" s="117"/>
      <c r="B23" s="117"/>
      <c r="C23" s="117"/>
      <c r="D23" s="117"/>
      <c r="E23" s="117"/>
      <c r="F23" s="117"/>
      <c r="G23" s="117"/>
      <c r="H23" s="65"/>
      <c r="J23" s="106" t="s">
        <v>64</v>
      </c>
      <c r="K23" s="116">
        <v>0.19</v>
      </c>
      <c r="L23" s="111">
        <v>0.30499999999999999</v>
      </c>
      <c r="M23" s="70"/>
      <c r="N23" s="70"/>
    </row>
    <row r="24" spans="1:14" ht="15" thickBot="1" x14ac:dyDescent="0.35">
      <c r="A24" s="188" t="s">
        <v>56</v>
      </c>
      <c r="B24" s="189"/>
      <c r="C24" s="189"/>
      <c r="D24" s="189"/>
      <c r="E24" s="189"/>
      <c r="F24" s="189"/>
      <c r="G24" s="190"/>
      <c r="H24" s="65"/>
      <c r="J24" s="118"/>
      <c r="K24" s="119"/>
      <c r="L24" s="120"/>
      <c r="M24" s="70"/>
      <c r="N24" s="70"/>
    </row>
    <row r="25" spans="1:14" ht="18" customHeight="1" thickBot="1" x14ac:dyDescent="0.35">
      <c r="A25" s="191"/>
      <c r="B25" s="192"/>
      <c r="C25" s="192"/>
      <c r="D25" s="192"/>
      <c r="E25" s="192"/>
      <c r="F25" s="192"/>
      <c r="G25" s="193"/>
      <c r="H25" s="65"/>
      <c r="J25" s="166" t="s">
        <v>45</v>
      </c>
      <c r="K25" s="167"/>
      <c r="L25" s="167"/>
      <c r="M25" s="167"/>
      <c r="N25" s="168"/>
    </row>
    <row r="26" spans="1:14" ht="15" thickBot="1" x14ac:dyDescent="0.35">
      <c r="A26" s="147"/>
      <c r="B26" s="147"/>
      <c r="C26" s="147"/>
      <c r="D26" s="147"/>
      <c r="E26" s="147"/>
      <c r="F26" s="147"/>
      <c r="G26" s="147"/>
      <c r="H26" s="148"/>
      <c r="J26" s="121" t="s">
        <v>11</v>
      </c>
      <c r="K26" s="122" t="s">
        <v>47</v>
      </c>
      <c r="L26" s="123">
        <v>0.02</v>
      </c>
      <c r="M26" s="124">
        <v>1125</v>
      </c>
      <c r="N26" s="125">
        <v>1450</v>
      </c>
    </row>
    <row r="27" spans="1:14" ht="16.2" thickBot="1" x14ac:dyDescent="0.35">
      <c r="A27" s="145" t="s">
        <v>52</v>
      </c>
      <c r="B27" s="126">
        <f>IF(A22&lt;&gt;"","Error",Calculations!AB26)</f>
        <v>481969.28793866653</v>
      </c>
      <c r="C27" s="146"/>
      <c r="D27" s="169" t="s">
        <v>59</v>
      </c>
      <c r="E27" s="170"/>
      <c r="F27" s="170"/>
      <c r="G27" s="171"/>
      <c r="H27" s="148"/>
      <c r="J27" s="121" t="s">
        <v>15</v>
      </c>
      <c r="K27" s="127" t="s">
        <v>48</v>
      </c>
      <c r="L27" s="128">
        <v>2.5000000000000001E-2</v>
      </c>
      <c r="M27" s="124">
        <v>1500</v>
      </c>
      <c r="N27" s="125">
        <v>1900</v>
      </c>
    </row>
    <row r="28" spans="1:14" ht="15" thickBot="1" x14ac:dyDescent="0.35">
      <c r="A28" s="145" t="str">
        <f>"Contribution towards " &amp; IF(B7="Pension","PF","NPS")</f>
        <v>Contribution towards NPS</v>
      </c>
      <c r="B28" s="129">
        <f>IF(A22&lt;&gt;"","Error",Calculations!AC26*0.1)</f>
        <v>45946</v>
      </c>
      <c r="C28" s="146"/>
      <c r="D28" s="172"/>
      <c r="E28" s="173"/>
      <c r="F28" s="173"/>
      <c r="G28" s="174"/>
      <c r="H28" s="148"/>
      <c r="J28" s="121" t="s">
        <v>16</v>
      </c>
      <c r="K28" s="130" t="s">
        <v>46</v>
      </c>
      <c r="L28" s="123">
        <v>0.05</v>
      </c>
      <c r="M28" s="124">
        <v>3000</v>
      </c>
      <c r="N28" s="125">
        <v>3750</v>
      </c>
    </row>
    <row r="29" spans="1:14" ht="15" thickBot="1" x14ac:dyDescent="0.35">
      <c r="A29" s="145" t="str">
        <f ca="1">"Gross Salary for "&amp;TEXT(INDIRECT("Calculations!A"&amp;COUNTA(Calculations!$A:$A)),"MMM YY")&amp;"*"</f>
        <v>Gross Salary for Sep 24*</v>
      </c>
      <c r="B29" s="131">
        <f ca="1">INDIRECT("Calculations!AA"&amp;COUNTA(Calculations!$A:$A))</f>
        <v>120644.78352</v>
      </c>
      <c r="C29" s="146"/>
      <c r="D29" s="172"/>
      <c r="E29" s="173"/>
      <c r="F29" s="173"/>
      <c r="G29" s="174"/>
      <c r="H29" s="148"/>
      <c r="J29" s="132" t="s">
        <v>17</v>
      </c>
      <c r="K29" s="133" t="s">
        <v>38</v>
      </c>
      <c r="L29" s="134">
        <v>0</v>
      </c>
      <c r="M29" s="135">
        <v>0</v>
      </c>
      <c r="N29" s="136">
        <v>0</v>
      </c>
    </row>
    <row r="30" spans="1:14" ht="15" thickBot="1" x14ac:dyDescent="0.35">
      <c r="A30" s="145" t="s">
        <v>54</v>
      </c>
      <c r="B30" s="131">
        <f ca="1">INDIRECT("Calculations!AB"&amp;COUNTA(Calculations!$A:$A))</f>
        <v>23177.456359999996</v>
      </c>
      <c r="C30" s="146"/>
      <c r="D30" s="172"/>
      <c r="E30" s="173"/>
      <c r="F30" s="173"/>
      <c r="G30" s="174"/>
      <c r="H30" s="148"/>
      <c r="J30" s="179" t="s">
        <v>71</v>
      </c>
      <c r="K30" s="180"/>
      <c r="L30" s="137"/>
      <c r="M30" s="138"/>
      <c r="N30" s="138"/>
    </row>
    <row r="31" spans="1:14" ht="16.2" thickBot="1" x14ac:dyDescent="0.35">
      <c r="A31" s="145" t="s">
        <v>65</v>
      </c>
      <c r="B31" s="131">
        <f>IF(A22&lt;&gt;"","Error",SUM(Calculations!O8:O19)+SUM(Calculations!AB8:AB19))</f>
        <v>1365499.3791879998</v>
      </c>
      <c r="C31" s="146"/>
      <c r="D31" s="175"/>
      <c r="E31" s="176"/>
      <c r="F31" s="176"/>
      <c r="G31" s="177"/>
      <c r="H31" s="148"/>
      <c r="J31" s="164" t="s">
        <v>61</v>
      </c>
      <c r="K31" s="165"/>
      <c r="L31" s="165"/>
      <c r="M31" s="165"/>
      <c r="N31" s="165"/>
    </row>
    <row r="32" spans="1:14" ht="16.2" thickBot="1" x14ac:dyDescent="0.35">
      <c r="A32" s="178"/>
      <c r="B32" s="178"/>
      <c r="C32" s="178"/>
      <c r="D32" s="178"/>
      <c r="E32" s="178"/>
      <c r="F32" s="178"/>
      <c r="G32" s="178"/>
      <c r="H32" s="148"/>
      <c r="J32" s="164" t="s">
        <v>62</v>
      </c>
      <c r="K32" s="165"/>
      <c r="L32" s="165"/>
      <c r="M32" s="165"/>
      <c r="N32" s="165"/>
    </row>
    <row r="33" spans="1:14" ht="18.600000000000001" thickBot="1" x14ac:dyDescent="0.4">
      <c r="A33" s="155" t="str">
        <f>C3</f>
        <v>(aeiro.com)</v>
      </c>
      <c r="B33" s="156"/>
      <c r="C33" s="156"/>
      <c r="D33" s="156"/>
      <c r="E33" s="156"/>
      <c r="F33" s="156"/>
      <c r="G33" s="157"/>
      <c r="H33" s="65"/>
      <c r="J33" s="164" t="s">
        <v>63</v>
      </c>
      <c r="K33" s="165"/>
      <c r="L33" s="165"/>
      <c r="M33" s="165"/>
      <c r="N33" s="165"/>
    </row>
    <row r="34" spans="1:14" ht="15" thickBot="1" x14ac:dyDescent="0.35">
      <c r="A34" s="158" t="str">
        <f>C4</f>
        <v>7298 17 6060 - Version 4 (2024)</v>
      </c>
      <c r="B34" s="159"/>
      <c r="C34" s="159"/>
      <c r="D34" s="159"/>
      <c r="E34" s="159"/>
      <c r="F34" s="159"/>
      <c r="G34" s="160"/>
      <c r="H34" s="65"/>
      <c r="J34" s="162"/>
      <c r="K34" s="163"/>
      <c r="L34" s="163"/>
      <c r="M34" s="163"/>
      <c r="N34" s="163"/>
    </row>
    <row r="35" spans="1:14" x14ac:dyDescent="0.3">
      <c r="A35" s="65"/>
      <c r="B35" s="65"/>
      <c r="C35" s="65"/>
      <c r="D35" s="65"/>
      <c r="E35" s="65"/>
      <c r="F35" s="65"/>
      <c r="G35" s="65"/>
      <c r="H35" s="65"/>
      <c r="J35" s="65"/>
      <c r="K35" s="65"/>
      <c r="L35" s="65"/>
      <c r="M35" s="65"/>
      <c r="N35" s="65"/>
    </row>
    <row r="37" spans="1:14" hidden="1" x14ac:dyDescent="0.3">
      <c r="J37" s="139"/>
    </row>
  </sheetData>
  <sheetProtection password="E6CD" sheet="1" objects="1" scenarios="1"/>
  <mergeCells count="23">
    <mergeCell ref="C4:K4"/>
    <mergeCell ref="A12:G13"/>
    <mergeCell ref="A24:G25"/>
    <mergeCell ref="A2:A4"/>
    <mergeCell ref="C3:K3"/>
    <mergeCell ref="C2:K2"/>
    <mergeCell ref="J6:L6"/>
    <mergeCell ref="J17:L17"/>
    <mergeCell ref="C6:E6"/>
    <mergeCell ref="C7:E7"/>
    <mergeCell ref="C8:E8"/>
    <mergeCell ref="C9:E9"/>
    <mergeCell ref="A33:G33"/>
    <mergeCell ref="A34:G34"/>
    <mergeCell ref="A22:G22"/>
    <mergeCell ref="J34:N34"/>
    <mergeCell ref="J33:N33"/>
    <mergeCell ref="J32:N32"/>
    <mergeCell ref="J31:N31"/>
    <mergeCell ref="J25:N25"/>
    <mergeCell ref="D27:G31"/>
    <mergeCell ref="A32:G32"/>
    <mergeCell ref="J30:K30"/>
  </mergeCells>
  <conditionalFormatting sqref="B27:B31">
    <cfRule type="expression" dxfId="0" priority="1">
      <formula>$B27="Error"</formula>
    </cfRule>
  </conditionalFormatting>
  <dataValidations count="6">
    <dataValidation type="list" allowBlank="1" showInputMessage="1" showErrorMessage="1" sqref="D16:D21" xr:uid="{00000000-0002-0000-0000-000000000000}">
      <formula1>"I,II,III,IV"</formula1>
    </dataValidation>
    <dataValidation type="list" allowBlank="1" showInputMessage="1" showErrorMessage="1" sqref="B7" xr:uid="{00000000-0002-0000-0000-000001000000}">
      <formula1>"Pension,NPS"</formula1>
    </dataValidation>
    <dataValidation type="list" allowBlank="1" showInputMessage="1" showErrorMessage="1" sqref="B8 B14" xr:uid="{00000000-0002-0000-0000-000002000000}">
      <formula1>"Yes,No"</formula1>
    </dataValidation>
    <dataValidation type="list" allowBlank="1" showInputMessage="1" showErrorMessage="1" sqref="E16:E21 C16:C21" xr:uid="{00000000-0002-0000-0000-000003000000}">
      <formula1>"I,II,III"</formula1>
    </dataValidation>
    <dataValidation type="list" allowBlank="1" showInputMessage="1" showErrorMessage="1" sqref="G16:G21" xr:uid="{00000000-0002-0000-0000-000004000000}">
      <formula1>INDIRECT(F16)</formula1>
    </dataValidation>
    <dataValidation type="list" allowBlank="1" showInputMessage="1" showErrorMessage="1" sqref="F16:F21" xr:uid="{00000000-0002-0000-0000-000005000000}">
      <formula1>"I,II,III,IV,V"</formula1>
    </dataValidation>
  </dataValidations>
  <hyperlinks>
    <hyperlink ref="D27:G31" location="Calculations!A1" display="eeee" xr:uid="{00000000-0004-0000-0000-000000000000}"/>
    <hyperlink ref="C15" location="Dash!K6:M10" display="HRA" xr:uid="{00000000-0004-0000-0000-000001000000}"/>
    <hyperlink ref="D15" location="Dash!J25:N29" display="HFA" xr:uid="{00000000-0004-0000-0000-000002000000}"/>
    <hyperlink ref="E15" location="Dash!J12:N15" display="CCA" xr:uid="{00000000-0004-0000-0000-000003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Data!$C$1:$C$12</xm:f>
          </x14:formula1>
          <xm:sqref>B6</xm:sqref>
        </x14:dataValidation>
        <x14:dataValidation type="list" allowBlank="1" showInputMessage="1" showErrorMessage="1" error="Date Should be between 01-11-2017 and 01-02-2021" xr:uid="{00000000-0002-0000-0000-000007000000}">
          <x14:formula1>
            <xm:f>Data!$A$1:$A$17</xm:f>
          </x14:formula1>
          <xm:sqref>B17:B21 B9</xm:sqref>
        </x14:dataValidation>
        <x14:dataValidation type="list" allowBlank="1" showInputMessage="1" showErrorMessage="1" error="Date Should be between 01-11-2017 and 01-02-2021" xr:uid="{00000000-0002-0000-0000-000008000000}">
          <x14:formula1>
            <xm:f>Data!$A$1:$A$22</xm:f>
          </x14:formula1>
          <xm:sqref>B16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AD2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25" sqref="H25"/>
    </sheetView>
  </sheetViews>
  <sheetFormatPr defaultColWidth="0" defaultRowHeight="14.4" zeroHeight="1" x14ac:dyDescent="0.3"/>
  <cols>
    <col min="1" max="1" width="15.44140625" style="14" bestFit="1" customWidth="1"/>
    <col min="2" max="2" width="5.5546875" style="19" hidden="1" customWidth="1"/>
    <col min="3" max="3" width="4.5546875" style="19" hidden="1" customWidth="1"/>
    <col min="4" max="4" width="4.6640625" style="19" hidden="1" customWidth="1"/>
    <col min="5" max="5" width="4.5546875" style="19" hidden="1" customWidth="1"/>
    <col min="6" max="6" width="11.109375" style="14" bestFit="1" customWidth="1"/>
    <col min="7" max="7" width="9.88671875" style="20" bestFit="1" customWidth="1"/>
    <col min="8" max="8" width="9.5546875" style="14" bestFit="1" customWidth="1"/>
    <col min="9" max="10" width="8" style="14" bestFit="1" customWidth="1"/>
    <col min="11" max="11" width="9.5546875" style="14" bestFit="1" customWidth="1"/>
    <col min="12" max="14" width="8" style="14" bestFit="1" customWidth="1"/>
    <col min="15" max="15" width="11.109375" style="14" bestFit="1" customWidth="1"/>
    <col min="16" max="16" width="3.109375" style="14" customWidth="1"/>
    <col min="17" max="17" width="11.109375" style="14" bestFit="1" customWidth="1"/>
    <col min="18" max="18" width="8" style="14" customWidth="1"/>
    <col min="19" max="19" width="9.88671875" style="20" bestFit="1" customWidth="1"/>
    <col min="20" max="20" width="9.5546875" style="14" bestFit="1" customWidth="1"/>
    <col min="21" max="22" width="8" style="14" bestFit="1" customWidth="1"/>
    <col min="23" max="24" width="9.5546875" style="14" bestFit="1" customWidth="1"/>
    <col min="25" max="26" width="8" style="14" bestFit="1" customWidth="1"/>
    <col min="27" max="27" width="12.109375" style="14" bestFit="1" customWidth="1"/>
    <col min="28" max="28" width="10.44140625" style="14" bestFit="1" customWidth="1"/>
    <col min="29" max="29" width="9.5546875" style="14" bestFit="1" customWidth="1"/>
    <col min="30" max="30" width="9.5546875" style="14" hidden="1" customWidth="1"/>
    <col min="31" max="31" width="0" style="14" hidden="1" customWidth="1"/>
    <col min="32" max="16384" width="0" style="14" hidden="1"/>
  </cols>
  <sheetData>
    <row r="1" spans="1:29" ht="16.8" thickBot="1" x14ac:dyDescent="0.4">
      <c r="A1" s="21" t="s">
        <v>0</v>
      </c>
      <c r="B1" s="21"/>
      <c r="C1" s="21"/>
      <c r="D1" s="21"/>
      <c r="E1" s="21"/>
      <c r="F1" s="22">
        <f>SUM(F3:F18)</f>
        <v>791600</v>
      </c>
      <c r="G1" s="23"/>
      <c r="H1" s="22">
        <f t="shared" ref="H1:O1" si="0">SUM(H3:H18)</f>
        <v>342709.24800000008</v>
      </c>
      <c r="I1" s="22">
        <f t="shared" si="0"/>
        <v>18400</v>
      </c>
      <c r="J1" s="22">
        <f t="shared" si="0"/>
        <v>15832.000000000005</v>
      </c>
      <c r="K1" s="22">
        <f t="shared" si="0"/>
        <v>186026.71667200001</v>
      </c>
      <c r="L1" s="22">
        <f t="shared" si="0"/>
        <v>71244</v>
      </c>
      <c r="M1" s="22">
        <f t="shared" si="0"/>
        <v>10300</v>
      </c>
      <c r="N1" s="37">
        <f t="shared" si="0"/>
        <v>13752.959999999997</v>
      </c>
      <c r="O1" s="35">
        <f t="shared" si="0"/>
        <v>1449864.9246719999</v>
      </c>
      <c r="P1" s="45"/>
      <c r="Q1" s="36">
        <f>SUM(Q3:Q18)</f>
        <v>1065200</v>
      </c>
      <c r="R1" s="37">
        <f>SUM(R3:R18)</f>
        <v>41520</v>
      </c>
      <c r="S1" s="38"/>
      <c r="T1" s="37">
        <f t="shared" ref="T1:AB1" si="1">SUM(T3:T18)</f>
        <v>124471.60399999999</v>
      </c>
      <c r="U1" s="37">
        <f t="shared" si="1"/>
        <v>30400</v>
      </c>
      <c r="V1" s="37">
        <f t="shared" si="1"/>
        <v>22134.399999999994</v>
      </c>
      <c r="W1" s="37">
        <f t="shared" si="1"/>
        <v>348427.22393199999</v>
      </c>
      <c r="X1" s="37">
        <f t="shared" si="1"/>
        <v>110672</v>
      </c>
      <c r="Y1" s="37">
        <f t="shared" si="1"/>
        <v>15166.666666666666</v>
      </c>
      <c r="Z1" s="37">
        <f t="shared" si="1"/>
        <v>15125.239999999998</v>
      </c>
      <c r="AA1" s="39">
        <f t="shared" si="1"/>
        <v>1773117.1345986673</v>
      </c>
      <c r="AB1" s="39">
        <f t="shared" si="1"/>
        <v>323252.20992666658</v>
      </c>
    </row>
    <row r="2" spans="1:29" ht="15" thickBot="1" x14ac:dyDescent="0.35">
      <c r="A2" s="24" t="s">
        <v>1</v>
      </c>
      <c r="B2" s="25" t="s">
        <v>9</v>
      </c>
      <c r="C2" s="25" t="s">
        <v>5</v>
      </c>
      <c r="D2" s="25" t="s">
        <v>8</v>
      </c>
      <c r="E2" s="25" t="s">
        <v>6</v>
      </c>
      <c r="F2" s="34" t="s">
        <v>2</v>
      </c>
      <c r="G2" s="27" t="s">
        <v>3</v>
      </c>
      <c r="H2" s="26" t="s">
        <v>4</v>
      </c>
      <c r="I2" s="26" t="s">
        <v>5</v>
      </c>
      <c r="J2" s="26" t="s">
        <v>6</v>
      </c>
      <c r="K2" s="26" t="s">
        <v>7</v>
      </c>
      <c r="L2" s="26" t="s">
        <v>8</v>
      </c>
      <c r="M2" s="28" t="s">
        <v>57</v>
      </c>
      <c r="N2" s="30" t="s">
        <v>49</v>
      </c>
      <c r="O2" s="34" t="s">
        <v>51</v>
      </c>
      <c r="P2" s="46"/>
      <c r="Q2" s="34" t="s">
        <v>2</v>
      </c>
      <c r="R2" s="28" t="s">
        <v>70</v>
      </c>
      <c r="S2" s="29" t="s">
        <v>3</v>
      </c>
      <c r="T2" s="28" t="s">
        <v>4</v>
      </c>
      <c r="U2" s="28" t="s">
        <v>5</v>
      </c>
      <c r="V2" s="28" t="s">
        <v>6</v>
      </c>
      <c r="W2" s="28" t="s">
        <v>7</v>
      </c>
      <c r="X2" s="28" t="s">
        <v>8</v>
      </c>
      <c r="Y2" s="28" t="s">
        <v>57</v>
      </c>
      <c r="Z2" s="30" t="s">
        <v>49</v>
      </c>
      <c r="AA2" s="31" t="s">
        <v>50</v>
      </c>
      <c r="AB2" s="31" t="s">
        <v>74</v>
      </c>
      <c r="AC2" s="15" t="s">
        <v>53</v>
      </c>
    </row>
    <row r="3" spans="1:29" ht="15" thickBot="1" x14ac:dyDescent="0.35">
      <c r="A3" s="32">
        <v>44866</v>
      </c>
      <c r="B3" s="16" t="str">
        <f>_xlfn.IFNA(IF(VLOOKUP($A3,Dash!$B$16:$F$20,5,FALSE)=0,B2,VLOOKUP($A3,Dash!$B$16:$F$20,5,FALSE)),"")</f>
        <v>II</v>
      </c>
      <c r="C3" s="16" t="str">
        <f>_xlfn.IFNA(IF(VLOOKUP($A3,Dash!$B$16:$F$20,4,FALSE)=0,C2,VLOOKUP($A3,Dash!$B$16:$F$20,4,FALSE)),"")</f>
        <v>II</v>
      </c>
      <c r="D3" s="16" t="str">
        <f>_xlfn.IFNA(IF(VLOOKUP($A3,Dash!$B$16:$F$20,2,FALSE)=0,D2,VLOOKUP($A3,Dash!$B$16:$F$20,2,FALSE)),"")</f>
        <v>I</v>
      </c>
      <c r="E3" s="16" t="str">
        <f>_xlfn.IFNA(IF(VLOOKUP($A3,Dash!$B$16:$F$20,3,FALSE)=0,E2,VLOOKUP($A3,Dash!$B$16:$F$20,3,FALSE)),"")</f>
        <v>I</v>
      </c>
      <c r="F3" s="54">
        <f>IF(AND(A3=Dash!$B$20,Dash!$G$20&lt;&gt;0),Dash!$G$20,(IF(AND(A3=Dash!$B$19,Dash!$G$19&lt;&gt;0),Dash!$G$19,(IF(AND(A3=Dash!$B$18,Dash!$G$18&lt;&gt;0),Dash!$G$18,IF(AND(A3=Dash!$B$17,Dash!$G$17&lt;&gt;0),Dash!$G$17,IF($A3&lt;Dash!$B$16,0,IF($A3=Dash!$B$16,Dash!$G$16,IF(MONTH($A3)=MONTH(Dash!$B$6),F2+INDEX(Scales!$E:$E,MATCH(B3&amp;F2,Scales!$C:$C,0)),F2)))))))))</f>
        <v>48170</v>
      </c>
      <c r="G3" s="55">
        <v>0.38919999999999999</v>
      </c>
      <c r="H3" s="56">
        <f t="shared" ref="H3" si="2">(F3)*G3</f>
        <v>18747.763999999999</v>
      </c>
      <c r="I3" s="56">
        <f>IFERROR(MIN(INDEX(Dash!$L$13:$L$15,MATCH($C3,Dash!$J$13:$J$15,0))*(F3),INDEX(Dash!$M$13:$M$15,MATCH($C3,Dash!$J$13:$J$15,0))),0)</f>
        <v>1150</v>
      </c>
      <c r="J3" s="57">
        <f>IFERROR(MIN((INDEX(Dash!$L$26:$L$29,MATCH($E3,Dash!$J$26:$J$29,0)))*(F3),INDEX(Dash!$M$26:$M$29,MATCH($E3,Dash!$J$26:$J$29,0))),0)</f>
        <v>963.4</v>
      </c>
      <c r="K3" s="57">
        <f>IFERROR(INDEX(Dash!$K$19:$K$23,MATCH($B3,Dash!$J$19:$J$23,0))*(F3)*(1+G3),0)</f>
        <v>10974.513295999999</v>
      </c>
      <c r="L3" s="56">
        <f>IFERROR(IF(AND(Dash!$B$8="Yes",Dash!$B$9&lt;=$A3),((F3)*1*INDEX(Dash!$L$8:$L$10,MATCH($D3,Dash!$J$8:$J$10,0)))*1.5,((F3)*1*INDEX(Dash!$L$8:$L$10,MATCH($D3,Dash!$J$8:$J$10,0)))),0)</f>
        <v>4335.3</v>
      </c>
      <c r="M3" s="56">
        <f>IF(AND(F3&lt;&gt;0,MONTH(A3)=4),VLOOKUP(B3,Scales!$I$2:$K$5,2),0)</f>
        <v>0</v>
      </c>
      <c r="N3" s="58">
        <f t="shared" ref="N3" si="3">IF(F3&gt;0,600*(1+G3),0)</f>
        <v>833.52</v>
      </c>
      <c r="O3" s="59">
        <f>$F3+$H3+$I3+$J3+$K3+$L3+M3+N3</f>
        <v>85174.497296000001</v>
      </c>
      <c r="P3" s="47"/>
      <c r="Q3" s="60">
        <f>IFERROR(INDEX(Scales!$D:$D,MATCH($B3&amp;$F3,Scales!$C:$C,0)),0)</f>
        <v>64820</v>
      </c>
      <c r="R3" s="61">
        <f>_xlfn.IFNA(IF(AND(Dash!$B$10&lt;&gt;"",Dash!$B$10&lt;=$A3),INDEX(Scales!F:F,MATCH($B3&amp;$F3,Scales!$C:$C,0)),0),0)</f>
        <v>2340</v>
      </c>
      <c r="S3" s="52">
        <v>7.4300000000000005E-2</v>
      </c>
      <c r="T3" s="61">
        <f>(Q3+R3)*S3</f>
        <v>4989.9880000000003</v>
      </c>
      <c r="U3" s="61">
        <f>IFERROR(INDEX(Dash!$N$13:$N$15,MATCH($C3,Dash!$J$13:$J$15,0)),0)</f>
        <v>1900</v>
      </c>
      <c r="V3" s="62">
        <f>IFERROR(MIN((INDEX(Dash!$L$26:$L$29,MATCH($E3,Dash!$J$26:$J$29,0)))*(Q3+R3),INDEX(Dash!$N$26:$N$29,MATCH($E3,Dash!$J$26:$J$29,0))),0)</f>
        <v>1343.2</v>
      </c>
      <c r="W3" s="62">
        <f>IFERROR(INDEX(Dash!$L$19:$L$23,MATCH($B3,Dash!$J$19:$J$23,0))*(Q3+R3)*(1+S3),0)</f>
        <v>20418.446604000001</v>
      </c>
      <c r="X3" s="61">
        <f>IFERROR(IF(AND(Dash!$B$8="Yes",Dash!$B$9&lt;=$A3),((Q3+R3)*INDEX(Dash!$M$8:$M$10,MATCH($D3,Dash!$J$8:$J$10,0)))*1.5,((Q3+R3)*INDEX(Dash!$M$8:$M$10,MATCH($D3,Dash!$J$8:$J$10,0)))),0)</f>
        <v>6716</v>
      </c>
      <c r="Y3" s="63">
        <f>_xlfn.IFNA(IF(AND(Q3&lt;&gt;0,MONTH(A3)=4),VLOOKUP(B3,Scales!$I$2:$K$5,3),IF(A3&lt;44927,VLOOKUP(B3,Scales!$I$2:$K$5,3)/12,0)),0)</f>
        <v>1083.3333333333333</v>
      </c>
      <c r="Z3" s="61">
        <f t="shared" ref="Z3:Z19" si="4">IF(Q3&gt;0,850*(1+S3),0)</f>
        <v>913.15499999999997</v>
      </c>
      <c r="AA3" s="17">
        <f>Q3+R3+T3+U3+V3+W3+X3+Z3+Y3</f>
        <v>104524.12293733332</v>
      </c>
      <c r="AB3" s="152">
        <f t="shared" ref="AB3:AB19" si="5">AA3-O3</f>
        <v>19349.625641333318</v>
      </c>
      <c r="AC3" s="154">
        <f>Q3+R3-F3</f>
        <v>18990</v>
      </c>
    </row>
    <row r="4" spans="1:29" ht="15" thickBot="1" x14ac:dyDescent="0.35">
      <c r="A4" s="33">
        <v>44896</v>
      </c>
      <c r="B4" s="16" t="str">
        <f>_xlfn.IFNA(IF(VLOOKUP($A4,Dash!$B$16:$F$20,5,TRUE)=0,B3,VLOOKUP($A4,Dash!$B$16:$F$20,5,TRUE)),"")</f>
        <v>II</v>
      </c>
      <c r="C4" s="16" t="str">
        <f>_xlfn.IFNA(IF(VLOOKUP($A4,Dash!$B$16:$F$20,4,TRUE)=0,C3,VLOOKUP($A4,Dash!$B$16:$F$20,4,TRUE)),"")</f>
        <v>II</v>
      </c>
      <c r="D4" s="16" t="str">
        <f>_xlfn.IFNA(IF(VLOOKUP($A4,Dash!$B$16:$F$20,2,TRUE)=0,D3,VLOOKUP($A4,Dash!$B$16:$F$20,2,TRUE)),"")</f>
        <v>I</v>
      </c>
      <c r="E4" s="16" t="str">
        <f>_xlfn.IFNA(IF(VLOOKUP($A4,Dash!$B$16:$F$20,3,TRUE)=0,E3,VLOOKUP($A4,Dash!$B$16:$F$20,3,TRUE)),"")</f>
        <v>I</v>
      </c>
      <c r="F4" s="54">
        <f>IF(AND(A4=Dash!$B$20,Dash!$G$20&lt;&gt;0),Dash!$G$20,(IF(AND(A4=Dash!$B$19,Dash!$G$19&lt;&gt;0),Dash!$G$19,(IF(AND(A4=Dash!$B$18,Dash!$G$18&lt;&gt;0),Dash!$G$18,IF(AND(A4=Dash!$B$17,Dash!$G$17&lt;&gt;0),Dash!$G$17,IF($A4&lt;Dash!$B$16,0,IF($A4=Dash!$B$16,Dash!$G$16,IF(MONTH($A4)=MONTH(Dash!$B$6),F3+INDEX(Scales!$E:$E,MATCH(B4&amp;F3,Scales!$C:$C,0)),F3)))))))))</f>
        <v>48170</v>
      </c>
      <c r="G4" s="55">
        <v>0.38919999999999999</v>
      </c>
      <c r="H4" s="56">
        <f t="shared" ref="H4:H24" si="6">(F4)*G4</f>
        <v>18747.763999999999</v>
      </c>
      <c r="I4" s="56">
        <f>IFERROR(MIN(INDEX(Dash!$L$13:$L$15,MATCH($C4,Dash!$J$13:$J$15,0))*(F4),INDEX(Dash!$M$13:$M$15,MATCH($C4,Dash!$J$13:$J$15,0))),0)</f>
        <v>1150</v>
      </c>
      <c r="J4" s="57">
        <f>IFERROR(MIN((INDEX(Dash!$L$26:$L$29,MATCH($E4,Dash!$J$26:$J$29,0)))*(F4),INDEX(Dash!$M$26:$M$29,MATCH($E4,Dash!$J$26:$J$29,0))),0)</f>
        <v>963.4</v>
      </c>
      <c r="K4" s="57">
        <f>IFERROR(INDEX(Dash!$K$19:$K$23,MATCH($B4,Dash!$J$19:$J$23,0))*(F4)*(1+G4),0)</f>
        <v>10974.513295999999</v>
      </c>
      <c r="L4" s="56">
        <f>IFERROR(IF(AND(Dash!$B$8="Yes",Dash!$B$9&lt;=$A4),((F4)*1*INDEX(Dash!$L$8:$L$10,MATCH($D4,Dash!$J$8:$J$10,0)))*1.5,((F4)*1*INDEX(Dash!$L$8:$L$10,MATCH($D4,Dash!$J$8:$J$10,0)))),0)</f>
        <v>4335.3</v>
      </c>
      <c r="M4" s="56">
        <f>IF(AND(F4&lt;&gt;0,MONTH(A4)=4),VLOOKUP(B4,Scales!$I$2:$K$5,2),0)</f>
        <v>0</v>
      </c>
      <c r="N4" s="58">
        <f t="shared" ref="N4:N24" si="7">IF(F4&gt;0,600*(1+G4),0)</f>
        <v>833.52</v>
      </c>
      <c r="O4" s="59">
        <f t="shared" ref="O4:O24" si="8">$F4+$H4+$I4+$J4+$K4+$L4+M4+N4</f>
        <v>85174.497296000001</v>
      </c>
      <c r="P4" s="47"/>
      <c r="Q4" s="60">
        <f>IFERROR(INDEX(Scales!$D:$D,MATCH($B4&amp;$F4,Scales!$C:$C,0)),0)</f>
        <v>64820</v>
      </c>
      <c r="R4" s="61">
        <f>_xlfn.IFNA(IF(AND(Dash!$B$10&lt;&gt;"",Dash!$B$10&lt;=$A4),INDEX(Scales!F:F,MATCH($B4&amp;$F4,Scales!$C:$C,0)),0),0)</f>
        <v>2340</v>
      </c>
      <c r="S4" s="52">
        <v>7.4300000000000005E-2</v>
      </c>
      <c r="T4" s="61">
        <f t="shared" ref="T4:T18" si="9">(Q4+R4)*S4</f>
        <v>4989.9880000000003</v>
      </c>
      <c r="U4" s="61">
        <f>IFERROR(INDEX(Dash!$N$13:$N$15,MATCH($C4,Dash!$J$13:$J$15,0)),0)</f>
        <v>1900</v>
      </c>
      <c r="V4" s="62">
        <f>IFERROR(MIN((INDEX(Dash!$L$26:$L$29,MATCH($E4,Dash!$J$26:$J$29,0)))*(Q4+R4),INDEX(Dash!$N$26:$N$29,MATCH($E4,Dash!$J$26:$J$29,0))),0)</f>
        <v>1343.2</v>
      </c>
      <c r="W4" s="62">
        <f>IFERROR(INDEX(Dash!$L$19:$L$23,MATCH($B4,Dash!$J$19:$J$23,0))*(Q4+R4)*(1+S4),0)</f>
        <v>20418.446604000001</v>
      </c>
      <c r="X4" s="61">
        <f>IFERROR(IF(AND(Dash!$B$8="Yes",Dash!$B$9&lt;=$A4),((Q4+R4)*INDEX(Dash!$M$8:$M$10,MATCH($D4,Dash!$J$8:$J$10,0)))*1.5,((Q4+R4)*INDEX(Dash!$M$8:$M$10,MATCH($D4,Dash!$J$8:$J$10,0)))),0)</f>
        <v>6716</v>
      </c>
      <c r="Y4" s="63">
        <f>_xlfn.IFNA(IF(AND(Q4&lt;&gt;0,MONTH(A4)=4),VLOOKUP(B4,Scales!$I$2:$K$5,3),IF(A4&lt;44927,VLOOKUP(B4,Scales!$I$2:$K$5,3)/12,0)),0)</f>
        <v>1083.3333333333333</v>
      </c>
      <c r="Z4" s="61">
        <f t="shared" si="4"/>
        <v>913.15499999999997</v>
      </c>
      <c r="AA4" s="17">
        <f t="shared" ref="AA4:AA18" si="10">Q4+R4+T4+U4+V4+W4+X4+Z4+Y4</f>
        <v>104524.12293733332</v>
      </c>
      <c r="AB4" s="152">
        <f t="shared" si="5"/>
        <v>19349.625641333318</v>
      </c>
      <c r="AC4" s="154">
        <f t="shared" ref="AC4:AC18" si="11">Q4+R4-F4</f>
        <v>18990</v>
      </c>
    </row>
    <row r="5" spans="1:29" ht="15" thickBot="1" x14ac:dyDescent="0.35">
      <c r="A5" s="32">
        <v>44927</v>
      </c>
      <c r="B5" s="16" t="str">
        <f>_xlfn.IFNA(IF(VLOOKUP($A5,Dash!$B$16:$F$20,5,TRUE)=0,B4,VLOOKUP($A5,Dash!$B$16:$F$20,5,TRUE)),"")</f>
        <v>II</v>
      </c>
      <c r="C5" s="16" t="str">
        <f>_xlfn.IFNA(IF(VLOOKUP($A5,Dash!$B$16:$F$20,4,TRUE)=0,C4,VLOOKUP($A5,Dash!$B$16:$F$20,4,TRUE)),"")</f>
        <v>II</v>
      </c>
      <c r="D5" s="16" t="str">
        <f>_xlfn.IFNA(IF(VLOOKUP($A5,Dash!$B$16:$F$20,2,TRUE)=0,D4,VLOOKUP($A5,Dash!$B$16:$F$20,2,TRUE)),"")</f>
        <v>I</v>
      </c>
      <c r="E5" s="16" t="str">
        <f>_xlfn.IFNA(IF(VLOOKUP($A5,Dash!$B$16:$F$20,3,TRUE)=0,E4,VLOOKUP($A5,Dash!$B$16:$F$20,3,TRUE)),"")</f>
        <v>I</v>
      </c>
      <c r="F5" s="54">
        <f>IF(AND(A5=Dash!$B$20,Dash!$G$20&lt;&gt;0),Dash!$G$20,(IF(AND(A5=Dash!$B$19,Dash!$G$19&lt;&gt;0),Dash!$G$19,(IF(AND(A5=Dash!$B$18,Dash!$G$18&lt;&gt;0),Dash!$G$18,IF(AND(A5=Dash!$B$17,Dash!$G$17&lt;&gt;0),Dash!$G$17,IF($A5&lt;Dash!$B$16,0,IF($A5=Dash!$B$16,Dash!$G$16,IF(MONTH($A5)=MONTH(Dash!$B$6),F4+INDEX(Scales!$E:$E,MATCH(B5&amp;F4,Scales!$C:$C,0)),F4)))))))))</f>
        <v>48170</v>
      </c>
      <c r="G5" s="55">
        <v>0.38919999999999999</v>
      </c>
      <c r="H5" s="56">
        <f t="shared" si="6"/>
        <v>18747.763999999999</v>
      </c>
      <c r="I5" s="56">
        <f>IFERROR(MIN(INDEX(Dash!$L$13:$L$15,MATCH($C5,Dash!$J$13:$J$15,0))*(F5),INDEX(Dash!$M$13:$M$15,MATCH($C5,Dash!$J$13:$J$15,0))),0)</f>
        <v>1150</v>
      </c>
      <c r="J5" s="57">
        <f>IFERROR(MIN((INDEX(Dash!$L$26:$L$29,MATCH($E5,Dash!$J$26:$J$29,0)))*(F5),INDEX(Dash!$M$26:$M$29,MATCH($E5,Dash!$J$26:$J$29,0))),0)</f>
        <v>963.4</v>
      </c>
      <c r="K5" s="57">
        <f>IFERROR(INDEX(Dash!$K$19:$K$23,MATCH($B5,Dash!$J$19:$J$23,0))*(F5)*(1+G5),0)</f>
        <v>10974.513295999999</v>
      </c>
      <c r="L5" s="56">
        <f>IFERROR(IF(AND(Dash!$B$8="Yes",Dash!$B$9&lt;=$A5),((F5)*1*INDEX(Dash!$L$8:$L$10,MATCH($D5,Dash!$J$8:$J$10,0)))*1.5,((F5)*1*INDEX(Dash!$L$8:$L$10,MATCH($D5,Dash!$J$8:$J$10,0)))),0)</f>
        <v>4335.3</v>
      </c>
      <c r="M5" s="56">
        <f>IF(AND(F5&lt;&gt;0,MONTH(A5)=4),VLOOKUP(B5,Scales!$I$2:$K$5,2),0)</f>
        <v>0</v>
      </c>
      <c r="N5" s="58">
        <f t="shared" si="7"/>
        <v>833.52</v>
      </c>
      <c r="O5" s="59">
        <f t="shared" si="8"/>
        <v>85174.497296000001</v>
      </c>
      <c r="P5" s="47"/>
      <c r="Q5" s="60">
        <f>IFERROR(INDEX(Scales!$D:$D,MATCH($B5&amp;$F5,Scales!$C:$C,0)),0)</f>
        <v>64820</v>
      </c>
      <c r="R5" s="61">
        <f>_xlfn.IFNA(IF(AND(Dash!$B$10&lt;&gt;"",Dash!$B$10&lt;=$A5),INDEX(Scales!F:F,MATCH($B5&amp;$F5,Scales!$C:$C,0)),0),0)</f>
        <v>2340</v>
      </c>
      <c r="S5" s="52">
        <v>7.4300000000000005E-2</v>
      </c>
      <c r="T5" s="61">
        <f t="shared" si="9"/>
        <v>4989.9880000000003</v>
      </c>
      <c r="U5" s="61">
        <f>IFERROR(INDEX(Dash!$N$13:$N$15,MATCH($C5,Dash!$J$13:$J$15,0)),0)</f>
        <v>1900</v>
      </c>
      <c r="V5" s="62">
        <f>IFERROR(MIN((INDEX(Dash!$L$26:$L$29,MATCH($E5,Dash!$J$26:$J$29,0)))*(Q5+R5),INDEX(Dash!$N$26:$N$29,MATCH($E5,Dash!$J$26:$J$29,0))),0)</f>
        <v>1343.2</v>
      </c>
      <c r="W5" s="62">
        <f>IFERROR(INDEX(Dash!$L$19:$L$23,MATCH($B5,Dash!$J$19:$J$23,0))*(Q5+R5)*(1+S5),0)</f>
        <v>20418.446604000001</v>
      </c>
      <c r="X5" s="61">
        <f>IFERROR(IF(AND(Dash!$B$8="Yes",Dash!$B$9&lt;=$A5),((Q5+R5)*INDEX(Dash!$M$8:$M$10,MATCH($D5,Dash!$J$8:$J$10,0)))*1.5,((Q5+R5)*INDEX(Dash!$M$8:$M$10,MATCH($D5,Dash!$J$8:$J$10,0)))),0)</f>
        <v>6716</v>
      </c>
      <c r="Y5" s="63">
        <f>_xlfn.IFNA(IF(AND(Q5&lt;&gt;0,MONTH(A5)=4),VLOOKUP(B5,Scales!$I$2:$K$5,3),IF(A5&lt;44927,VLOOKUP(B5,Scales!$I$2:$K$5,3)/12,0)),0)</f>
        <v>0</v>
      </c>
      <c r="Z5" s="61">
        <f t="shared" si="4"/>
        <v>913.15499999999997</v>
      </c>
      <c r="AA5" s="17">
        <f t="shared" si="10"/>
        <v>103440.78960399999</v>
      </c>
      <c r="AB5" s="152">
        <f t="shared" si="5"/>
        <v>18266.292307999989</v>
      </c>
      <c r="AC5" s="154">
        <f t="shared" si="11"/>
        <v>18990</v>
      </c>
    </row>
    <row r="6" spans="1:29" ht="15" thickBot="1" x14ac:dyDescent="0.35">
      <c r="A6" s="33">
        <v>44958</v>
      </c>
      <c r="B6" s="16" t="str">
        <f>_xlfn.IFNA(IF(VLOOKUP($A6,Dash!$B$16:$F$20,5,TRUE)=0,B5,VLOOKUP($A6,Dash!$B$16:$F$20,5,TRUE)),"")</f>
        <v>II</v>
      </c>
      <c r="C6" s="16" t="str">
        <f>_xlfn.IFNA(IF(VLOOKUP($A6,Dash!$B$16:$F$20,4,TRUE)=0,C5,VLOOKUP($A6,Dash!$B$16:$F$20,4,TRUE)),"")</f>
        <v>II</v>
      </c>
      <c r="D6" s="16" t="str">
        <f>_xlfn.IFNA(IF(VLOOKUP($A6,Dash!$B$16:$F$20,2,TRUE)=0,D5,VLOOKUP($A6,Dash!$B$16:$F$20,2,TRUE)),"")</f>
        <v>I</v>
      </c>
      <c r="E6" s="16" t="str">
        <f>_xlfn.IFNA(IF(VLOOKUP($A6,Dash!$B$16:$F$20,3,TRUE)=0,E5,VLOOKUP($A6,Dash!$B$16:$F$20,3,TRUE)),"")</f>
        <v>I</v>
      </c>
      <c r="F6" s="54">
        <f>IF(AND(A6=Dash!$B$20,Dash!$G$20&lt;&gt;0),Dash!$G$20,(IF(AND(A6=Dash!$B$19,Dash!$G$19&lt;&gt;0),Dash!$G$19,(IF(AND(A6=Dash!$B$18,Dash!$G$18&lt;&gt;0),Dash!$G$18,IF(AND(A6=Dash!$B$17,Dash!$G$17&lt;&gt;0),Dash!$G$17,IF($A6&lt;Dash!$B$16,0,IF($A6=Dash!$B$16,Dash!$G$16,IF(MONTH($A6)=MONTH(Dash!$B$6),F5+INDEX(Scales!$E:$E,MATCH(B6&amp;F5,Scales!$C:$C,0)),F5)))))))))</f>
        <v>48170</v>
      </c>
      <c r="G6" s="55">
        <v>0.41160000000000002</v>
      </c>
      <c r="H6" s="56">
        <f t="shared" si="6"/>
        <v>19826.772000000001</v>
      </c>
      <c r="I6" s="56">
        <f>IFERROR(MIN(INDEX(Dash!$L$13:$L$15,MATCH($C6,Dash!$J$13:$J$15,0))*(F6),INDEX(Dash!$M$13:$M$15,MATCH($C6,Dash!$J$13:$J$15,0))),0)</f>
        <v>1150</v>
      </c>
      <c r="J6" s="57">
        <f>IFERROR(MIN((INDEX(Dash!$L$26:$L$29,MATCH($E6,Dash!$J$26:$J$29,0)))*(F6),INDEX(Dash!$M$26:$M$29,MATCH($E6,Dash!$J$26:$J$29,0))),0)</f>
        <v>963.4</v>
      </c>
      <c r="K6" s="57">
        <f>IFERROR(INDEX(Dash!$K$19:$K$23,MATCH($B6,Dash!$J$19:$J$23,0))*(F6)*(1+G6),0)</f>
        <v>11151.470608</v>
      </c>
      <c r="L6" s="56">
        <f>IFERROR(IF(AND(Dash!$B$8="Yes",Dash!$B$9&lt;=$A6),((F6)*1*INDEX(Dash!$L$8:$L$10,MATCH($D6,Dash!$J$8:$J$10,0)))*1.5,((F6)*1*INDEX(Dash!$L$8:$L$10,MATCH($D6,Dash!$J$8:$J$10,0)))),0)</f>
        <v>4335.3</v>
      </c>
      <c r="M6" s="56">
        <f>IF(AND(F6&lt;&gt;0,MONTH(A6)=4),VLOOKUP(B6,Scales!$I$2:$K$5,2),0)</f>
        <v>0</v>
      </c>
      <c r="N6" s="58">
        <f t="shared" si="7"/>
        <v>846.96</v>
      </c>
      <c r="O6" s="59">
        <f t="shared" si="8"/>
        <v>86443.902608000004</v>
      </c>
      <c r="P6" s="47"/>
      <c r="Q6" s="60">
        <f>IFERROR(INDEX(Scales!$D:$D,MATCH($B6&amp;$F6,Scales!$C:$C,0)),0)</f>
        <v>64820</v>
      </c>
      <c r="R6" s="61">
        <f>_xlfn.IFNA(IF(AND(Dash!$B$10&lt;&gt;"",Dash!$B$10&lt;=$A6),INDEX(Scales!F:F,MATCH($B6&amp;$F6,Scales!$C:$C,0)),0),0)</f>
        <v>2340</v>
      </c>
      <c r="S6" s="52">
        <v>9.4E-2</v>
      </c>
      <c r="T6" s="61">
        <f t="shared" si="9"/>
        <v>6313.04</v>
      </c>
      <c r="U6" s="61">
        <f>IFERROR(INDEX(Dash!$N$13:$N$15,MATCH($C6,Dash!$J$13:$J$15,0)),0)</f>
        <v>1900</v>
      </c>
      <c r="V6" s="62">
        <f>IFERROR(MIN((INDEX(Dash!$L$26:$L$29,MATCH($E6,Dash!$J$26:$J$29,0)))*(Q6+R6),INDEX(Dash!$N$26:$N$29,MATCH($E6,Dash!$J$26:$J$29,0))),0)</f>
        <v>1343.2</v>
      </c>
      <c r="W6" s="62">
        <f>IFERROR(INDEX(Dash!$L$19:$L$23,MATCH($B6,Dash!$J$19:$J$23,0))*(Q6+R6)*(1+S6),0)</f>
        <v>20792.870320000002</v>
      </c>
      <c r="X6" s="61">
        <f>IFERROR(IF(AND(Dash!$B$8="Yes",Dash!$B$9&lt;=$A6),((Q6+R6)*INDEX(Dash!$M$8:$M$10,MATCH($D6,Dash!$J$8:$J$10,0)))*1.5,((Q6+R6)*INDEX(Dash!$M$8:$M$10,MATCH($D6,Dash!$J$8:$J$10,0)))),0)</f>
        <v>6716</v>
      </c>
      <c r="Y6" s="63">
        <f>_xlfn.IFNA(IF(AND(Q6&lt;&gt;0,MONTH(A6)=4),VLOOKUP(B6,Scales!$I$2:$K$5,3),IF(A6&lt;44927,VLOOKUP(B6,Scales!$I$2:$K$5,3)/12,0)),0)</f>
        <v>0</v>
      </c>
      <c r="Z6" s="61">
        <f t="shared" si="4"/>
        <v>929.90000000000009</v>
      </c>
      <c r="AA6" s="17">
        <f t="shared" si="10"/>
        <v>105155.01031999999</v>
      </c>
      <c r="AB6" s="152">
        <f t="shared" si="5"/>
        <v>18711.107711999983</v>
      </c>
      <c r="AC6" s="154">
        <f t="shared" si="11"/>
        <v>18990</v>
      </c>
    </row>
    <row r="7" spans="1:29" ht="15" thickBot="1" x14ac:dyDescent="0.35">
      <c r="A7" s="32">
        <v>44986</v>
      </c>
      <c r="B7" s="16" t="str">
        <f>_xlfn.IFNA(IF(VLOOKUP($A7,Dash!$B$16:$F$20,5,TRUE)=0,B6,VLOOKUP($A7,Dash!$B$16:$F$20,5,TRUE)),"")</f>
        <v>II</v>
      </c>
      <c r="C7" s="16" t="str">
        <f>_xlfn.IFNA(IF(VLOOKUP($A7,Dash!$B$16:$F$20,4,TRUE)=0,C6,VLOOKUP($A7,Dash!$B$16:$F$20,4,TRUE)),"")</f>
        <v>II</v>
      </c>
      <c r="D7" s="16" t="str">
        <f>_xlfn.IFNA(IF(VLOOKUP($A7,Dash!$B$16:$F$20,2,TRUE)=0,D6,VLOOKUP($A7,Dash!$B$16:$F$20,2,TRUE)),"")</f>
        <v>I</v>
      </c>
      <c r="E7" s="16" t="str">
        <f>_xlfn.IFNA(IF(VLOOKUP($A7,Dash!$B$16:$F$20,3,TRUE)=0,E6,VLOOKUP($A7,Dash!$B$16:$F$20,3,TRUE)),"")</f>
        <v>I</v>
      </c>
      <c r="F7" s="54">
        <f>IF(AND(A7=Dash!$B$20,Dash!$G$20&lt;&gt;0),Dash!$G$20,(IF(AND(A7=Dash!$B$19,Dash!$G$19&lt;&gt;0),Dash!$G$19,(IF(AND(A7=Dash!$B$18,Dash!$G$18&lt;&gt;0),Dash!$G$18,IF(AND(A7=Dash!$B$17,Dash!$G$17&lt;&gt;0),Dash!$G$17,IF($A7&lt;Dash!$B$16,0,IF($A7=Dash!$B$16,Dash!$G$16,IF(MONTH($A7)=MONTH(Dash!$B$6),F6+INDEX(Scales!$E:$E,MATCH(B7&amp;F6,Scales!$C:$C,0)),F6)))))))))</f>
        <v>49910</v>
      </c>
      <c r="G7" s="55">
        <v>0.41160000000000002</v>
      </c>
      <c r="H7" s="56">
        <f t="shared" si="6"/>
        <v>20542.956000000002</v>
      </c>
      <c r="I7" s="56">
        <f>IFERROR(MIN(INDEX(Dash!$L$13:$L$15,MATCH($C7,Dash!$J$13:$J$15,0))*(F7),INDEX(Dash!$M$13:$M$15,MATCH($C7,Dash!$J$13:$J$15,0))),0)</f>
        <v>1150</v>
      </c>
      <c r="J7" s="57">
        <f>IFERROR(MIN((INDEX(Dash!$L$26:$L$29,MATCH($E7,Dash!$J$26:$J$29,0)))*(F7),INDEX(Dash!$M$26:$M$29,MATCH($E7,Dash!$J$26:$J$29,0))),0)</f>
        <v>998.2</v>
      </c>
      <c r="K7" s="57">
        <f>IFERROR(INDEX(Dash!$K$19:$K$23,MATCH($B7,Dash!$J$19:$J$23,0))*(F7)*(1+G7),0)</f>
        <v>11554.284784000001</v>
      </c>
      <c r="L7" s="56">
        <f>IFERROR(IF(AND(Dash!$B$8="Yes",Dash!$B$9&lt;=$A7),((F7)*1*INDEX(Dash!$L$8:$L$10,MATCH($D7,Dash!$J$8:$J$10,0)))*1.5,((F7)*1*INDEX(Dash!$L$8:$L$10,MATCH($D7,Dash!$J$8:$J$10,0)))),0)</f>
        <v>4491.8999999999996</v>
      </c>
      <c r="M7" s="56">
        <f>IF(AND(F7&lt;&gt;0,MONTH(A7)=4),VLOOKUP(B7,Scales!$I$2:$K$5,2),0)</f>
        <v>0</v>
      </c>
      <c r="N7" s="58">
        <f t="shared" si="7"/>
        <v>846.96</v>
      </c>
      <c r="O7" s="59">
        <f t="shared" si="8"/>
        <v>89494.300784000006</v>
      </c>
      <c r="P7" s="47"/>
      <c r="Q7" s="60">
        <f>IFERROR(INDEX(Scales!$D:$D,MATCH($B7&amp;$F7,Scales!$C:$C,0)),0)</f>
        <v>67160</v>
      </c>
      <c r="R7" s="61">
        <f>_xlfn.IFNA(IF(AND(Dash!$B$10&lt;&gt;"",Dash!$B$10&lt;=$A7),INDEX(Scales!F:F,MATCH($B7&amp;$F7,Scales!$C:$C,0)),0),0)</f>
        <v>2680</v>
      </c>
      <c r="S7" s="52">
        <v>9.4E-2</v>
      </c>
      <c r="T7" s="61">
        <f t="shared" si="9"/>
        <v>6564.96</v>
      </c>
      <c r="U7" s="61">
        <f>IFERROR(INDEX(Dash!$N$13:$N$15,MATCH($C7,Dash!$J$13:$J$15,0)),0)</f>
        <v>1900</v>
      </c>
      <c r="V7" s="62">
        <f>IFERROR(MIN((INDEX(Dash!$L$26:$L$29,MATCH($E7,Dash!$J$26:$J$29,0)))*(Q7+R7),INDEX(Dash!$N$26:$N$29,MATCH($E7,Dash!$J$26:$J$29,0))),0)</f>
        <v>1396.8</v>
      </c>
      <c r="W7" s="62">
        <f>IFERROR(INDEX(Dash!$L$19:$L$23,MATCH($B7,Dash!$J$19:$J$23,0))*(Q7+R7)*(1+S7),0)</f>
        <v>21622.60368</v>
      </c>
      <c r="X7" s="61">
        <f>IFERROR(IF(AND(Dash!$B$8="Yes",Dash!$B$9&lt;=$A7),((Q7+R7)*INDEX(Dash!$M$8:$M$10,MATCH($D7,Dash!$J$8:$J$10,0)))*1.5,((Q7+R7)*INDEX(Dash!$M$8:$M$10,MATCH($D7,Dash!$J$8:$J$10,0)))),0)</f>
        <v>6984</v>
      </c>
      <c r="Y7" s="63">
        <f>_xlfn.IFNA(IF(AND(Q7&lt;&gt;0,MONTH(A7)=4),VLOOKUP(B7,Scales!$I$2:$K$5,3),IF(A7&lt;44927,VLOOKUP(B7,Scales!$I$2:$K$5,3)/12,0)),0)</f>
        <v>0</v>
      </c>
      <c r="Z7" s="61">
        <f t="shared" si="4"/>
        <v>929.90000000000009</v>
      </c>
      <c r="AA7" s="17">
        <f t="shared" si="10"/>
        <v>109238.26368</v>
      </c>
      <c r="AB7" s="152">
        <f t="shared" si="5"/>
        <v>19743.962895999997</v>
      </c>
      <c r="AC7" s="154">
        <f t="shared" si="11"/>
        <v>19930</v>
      </c>
    </row>
    <row r="8" spans="1:29" ht="15" thickBot="1" x14ac:dyDescent="0.35">
      <c r="A8" s="33">
        <v>45017</v>
      </c>
      <c r="B8" s="16" t="str">
        <f>_xlfn.IFNA(IF(VLOOKUP($A8,Dash!$B$16:$F$20,5,TRUE)=0,B7,VLOOKUP($A8,Dash!$B$16:$F$20,5,TRUE)),"")</f>
        <v>II</v>
      </c>
      <c r="C8" s="16" t="str">
        <f>_xlfn.IFNA(IF(VLOOKUP($A8,Dash!$B$16:$F$20,4,TRUE)=0,C7,VLOOKUP($A8,Dash!$B$16:$F$20,4,TRUE)),"")</f>
        <v>II</v>
      </c>
      <c r="D8" s="16" t="str">
        <f>_xlfn.IFNA(IF(VLOOKUP($A8,Dash!$B$16:$F$20,2,TRUE)=0,D7,VLOOKUP($A8,Dash!$B$16:$F$20,2,TRUE)),"")</f>
        <v>I</v>
      </c>
      <c r="E8" s="16" t="str">
        <f>_xlfn.IFNA(IF(VLOOKUP($A8,Dash!$B$16:$F$20,3,TRUE)=0,E7,VLOOKUP($A8,Dash!$B$16:$F$20,3,TRUE)),"")</f>
        <v>I</v>
      </c>
      <c r="F8" s="54">
        <f>IF(AND(A8=Dash!$B$20,Dash!$G$20&lt;&gt;0),Dash!$G$20,(IF(AND(A8=Dash!$B$19,Dash!$G$19&lt;&gt;0),Dash!$G$19,(IF(AND(A8=Dash!$B$18,Dash!$G$18&lt;&gt;0),Dash!$G$18,IF(AND(A8=Dash!$B$17,Dash!$G$17&lt;&gt;0),Dash!$G$17,IF($A8&lt;Dash!$B$16,0,IF($A8=Dash!$B$16,Dash!$G$16,IF(MONTH($A8)=MONTH(Dash!$B$6),F7+INDEX(Scales!$E:$E,MATCH(B8&amp;F7,Scales!$C:$C,0)),F7)))))))))</f>
        <v>49910</v>
      </c>
      <c r="G8" s="55">
        <v>0.41160000000000002</v>
      </c>
      <c r="H8" s="56">
        <f t="shared" si="6"/>
        <v>20542.956000000002</v>
      </c>
      <c r="I8" s="56">
        <f>IFERROR(MIN(INDEX(Dash!$L$13:$L$15,MATCH($C8,Dash!$J$13:$J$15,0))*(F8),INDEX(Dash!$M$13:$M$15,MATCH($C8,Dash!$J$13:$J$15,0))),0)</f>
        <v>1150</v>
      </c>
      <c r="J8" s="57">
        <f>IFERROR(MIN((INDEX(Dash!$L$26:$L$29,MATCH($E8,Dash!$J$26:$J$29,0)))*(F8),INDEX(Dash!$M$26:$M$29,MATCH($E8,Dash!$J$26:$J$29,0))),0)</f>
        <v>998.2</v>
      </c>
      <c r="K8" s="57">
        <f>IFERROR(INDEX(Dash!$K$19:$K$23,MATCH($B8,Dash!$J$19:$J$23,0))*(F8)*(1+G8),0)</f>
        <v>11554.284784000001</v>
      </c>
      <c r="L8" s="56">
        <f>IFERROR(IF(AND(Dash!$B$8="Yes",Dash!$B$9&lt;=$A8),((F8)*1*INDEX(Dash!$L$8:$L$10,MATCH($D8,Dash!$J$8:$J$10,0)))*1.5,((F8)*1*INDEX(Dash!$L$8:$L$10,MATCH($D8,Dash!$J$8:$J$10,0)))),0)</f>
        <v>4491.8999999999996</v>
      </c>
      <c r="M8" s="56">
        <f>IF(AND(F8&lt;&gt;0,MONTH(A8)=4),VLOOKUP(B8,Scales!$I$2:$K$5,2),0)</f>
        <v>10300</v>
      </c>
      <c r="N8" s="58">
        <f t="shared" si="7"/>
        <v>846.96</v>
      </c>
      <c r="O8" s="59">
        <f t="shared" si="8"/>
        <v>99794.300784000006</v>
      </c>
      <c r="P8" s="47"/>
      <c r="Q8" s="60">
        <f>IFERROR(INDEX(Scales!$D:$D,MATCH($B8&amp;$F8,Scales!$C:$C,0)),0)</f>
        <v>67160</v>
      </c>
      <c r="R8" s="61">
        <f>_xlfn.IFNA(IF(AND(Dash!$B$10&lt;&gt;"",Dash!$B$10&lt;=$A8),INDEX(Scales!F:F,MATCH($B8&amp;$F8,Scales!$C:$C,0)),0),0)</f>
        <v>2680</v>
      </c>
      <c r="S8" s="52">
        <v>9.4E-2</v>
      </c>
      <c r="T8" s="61">
        <f t="shared" si="9"/>
        <v>6564.96</v>
      </c>
      <c r="U8" s="61">
        <f>IFERROR(INDEX(Dash!$N$13:$N$15,MATCH($C8,Dash!$J$13:$J$15,0)),0)</f>
        <v>1900</v>
      </c>
      <c r="V8" s="62">
        <f>IFERROR(MIN((INDEX(Dash!$L$26:$L$29,MATCH($E8,Dash!$J$26:$J$29,0)))*(Q8+R8),INDEX(Dash!$N$26:$N$29,MATCH($E8,Dash!$J$26:$J$29,0))),0)</f>
        <v>1396.8</v>
      </c>
      <c r="W8" s="62">
        <f>IFERROR(INDEX(Dash!$L$19:$L$23,MATCH($B8,Dash!$J$19:$J$23,0))*(Q8+R8)*(1+S8),0)</f>
        <v>21622.60368</v>
      </c>
      <c r="X8" s="61">
        <f>IFERROR(IF(AND(Dash!$B$8="Yes",Dash!$B$9&lt;=$A8),((Q8+R8)*INDEX(Dash!$M$8:$M$10,MATCH($D8,Dash!$J$8:$J$10,0)))*1.5,((Q8+R8)*INDEX(Dash!$M$8:$M$10,MATCH($D8,Dash!$J$8:$J$10,0)))),0)</f>
        <v>6984</v>
      </c>
      <c r="Y8" s="63">
        <f>_xlfn.IFNA(IF(AND(Q8&lt;&gt;0,MONTH(A8)=4),VLOOKUP(B8,Scales!$I$2:$K$5,3),IF(A8&lt;44927,VLOOKUP(B8,Scales!$I$2:$K$5,3)/12,0)),0)</f>
        <v>13000</v>
      </c>
      <c r="Z8" s="61">
        <f t="shared" si="4"/>
        <v>929.90000000000009</v>
      </c>
      <c r="AA8" s="17">
        <f t="shared" si="10"/>
        <v>122238.26368</v>
      </c>
      <c r="AB8" s="152">
        <f t="shared" si="5"/>
        <v>22443.962895999997</v>
      </c>
      <c r="AC8" s="154">
        <f t="shared" si="11"/>
        <v>19930</v>
      </c>
    </row>
    <row r="9" spans="1:29" ht="15" thickBot="1" x14ac:dyDescent="0.35">
      <c r="A9" s="32">
        <v>45047</v>
      </c>
      <c r="B9" s="16" t="str">
        <f>_xlfn.IFNA(IF(VLOOKUP($A9,Dash!$B$16:$F$20,5,TRUE)=0,B8,VLOOKUP($A9,Dash!$B$16:$F$20,5,TRUE)),"")</f>
        <v>II</v>
      </c>
      <c r="C9" s="16" t="str">
        <f>_xlfn.IFNA(IF(VLOOKUP($A9,Dash!$B$16:$F$20,4,TRUE)=0,C8,VLOOKUP($A9,Dash!$B$16:$F$20,4,TRUE)),"")</f>
        <v>II</v>
      </c>
      <c r="D9" s="16" t="str">
        <f>_xlfn.IFNA(IF(VLOOKUP($A9,Dash!$B$16:$F$20,2,TRUE)=0,D8,VLOOKUP($A9,Dash!$B$16:$F$20,2,TRUE)),"")</f>
        <v>I</v>
      </c>
      <c r="E9" s="16" t="str">
        <f>_xlfn.IFNA(IF(VLOOKUP($A9,Dash!$B$16:$F$20,3,TRUE)=0,E8,VLOOKUP($A9,Dash!$B$16:$F$20,3,TRUE)),"")</f>
        <v>I</v>
      </c>
      <c r="F9" s="54">
        <f>IF(AND(A9=Dash!$B$20,Dash!$G$20&lt;&gt;0),Dash!$G$20,(IF(AND(A9=Dash!$B$19,Dash!$G$19&lt;&gt;0),Dash!$G$19,(IF(AND(A9=Dash!$B$18,Dash!$G$18&lt;&gt;0),Dash!$G$18,IF(AND(A9=Dash!$B$17,Dash!$G$17&lt;&gt;0),Dash!$G$17,IF($A9&lt;Dash!$B$16,0,IF($A9=Dash!$B$16,Dash!$G$16,IF(MONTH($A9)=MONTH(Dash!$B$6),F8+INDEX(Scales!$E:$E,MATCH(B9&amp;F8,Scales!$C:$C,0)),F8)))))))))</f>
        <v>49910</v>
      </c>
      <c r="G9" s="55">
        <v>0.41720000000000002</v>
      </c>
      <c r="H9" s="56">
        <f t="shared" si="6"/>
        <v>20822.452000000001</v>
      </c>
      <c r="I9" s="56">
        <f>IFERROR(MIN(INDEX(Dash!$L$13:$L$15,MATCH($C9,Dash!$J$13:$J$15,0))*(F9),INDEX(Dash!$M$13:$M$15,MATCH($C9,Dash!$J$13:$J$15,0))),0)</f>
        <v>1150</v>
      </c>
      <c r="J9" s="57">
        <f>IFERROR(MIN((INDEX(Dash!$L$26:$L$29,MATCH($E9,Dash!$J$26:$J$29,0)))*(F9),INDEX(Dash!$M$26:$M$29,MATCH($E9,Dash!$J$26:$J$29,0))),0)</f>
        <v>998.2</v>
      </c>
      <c r="K9" s="57">
        <f>IFERROR(INDEX(Dash!$K$19:$K$23,MATCH($B9,Dash!$J$19:$J$23,0))*(F9)*(1+G9),0)</f>
        <v>11600.122128000001</v>
      </c>
      <c r="L9" s="56">
        <f>IFERROR(IF(AND(Dash!$B$8="Yes",Dash!$B$9&lt;=$A9),((F9)*1*INDEX(Dash!$L$8:$L$10,MATCH($D9,Dash!$J$8:$J$10,0)))*1.5,((F9)*1*INDEX(Dash!$L$8:$L$10,MATCH($D9,Dash!$J$8:$J$10,0)))),0)</f>
        <v>4491.8999999999996</v>
      </c>
      <c r="M9" s="56">
        <f>IF(AND(F9&lt;&gt;0,MONTH(A9)=4),VLOOKUP(B9,Scales!$I$2:$K$5,2),0)</f>
        <v>0</v>
      </c>
      <c r="N9" s="58">
        <f t="shared" si="7"/>
        <v>850.32</v>
      </c>
      <c r="O9" s="59">
        <f t="shared" si="8"/>
        <v>89822.994128000006</v>
      </c>
      <c r="P9" s="47"/>
      <c r="Q9" s="60">
        <f>IFERROR(INDEX(Scales!$D:$D,MATCH($B9&amp;$F9,Scales!$C:$C,0)),0)</f>
        <v>67160</v>
      </c>
      <c r="R9" s="61">
        <f>_xlfn.IFNA(IF(AND(Dash!$B$10&lt;&gt;"",Dash!$B$10&lt;=$A9),INDEX(Scales!F:F,MATCH($B9&amp;$F9,Scales!$C:$C,0)),0),0)</f>
        <v>2680</v>
      </c>
      <c r="S9" s="52">
        <v>9.9000000000000005E-2</v>
      </c>
      <c r="T9" s="61">
        <f t="shared" si="9"/>
        <v>6914.1600000000008</v>
      </c>
      <c r="U9" s="61">
        <f>IFERROR(INDEX(Dash!$N$13:$N$15,MATCH($C9,Dash!$J$13:$J$15,0)),0)</f>
        <v>1900</v>
      </c>
      <c r="V9" s="62">
        <f>IFERROR(MIN((INDEX(Dash!$L$26:$L$29,MATCH($E9,Dash!$J$26:$J$29,0)))*(Q9+R9),INDEX(Dash!$N$26:$N$29,MATCH($E9,Dash!$J$26:$J$29,0))),0)</f>
        <v>1396.8</v>
      </c>
      <c r="W9" s="62">
        <f>IFERROR(INDEX(Dash!$L$19:$L$23,MATCH($B9,Dash!$J$19:$J$23,0))*(Q9+R9)*(1+S9),0)</f>
        <v>21721.427279999996</v>
      </c>
      <c r="X9" s="61">
        <f>IFERROR(IF(AND(Dash!$B$8="Yes",Dash!$B$9&lt;=$A9),((Q9+R9)*INDEX(Dash!$M$8:$M$10,MATCH($D9,Dash!$J$8:$J$10,0)))*1.5,((Q9+R9)*INDEX(Dash!$M$8:$M$10,MATCH($D9,Dash!$J$8:$J$10,0)))),0)</f>
        <v>6984</v>
      </c>
      <c r="Y9" s="63">
        <f>_xlfn.IFNA(IF(AND(Q9&lt;&gt;0,MONTH(A9)=4),VLOOKUP(B9,Scales!$I$2:$K$5,3),IF(A9&lt;44927,VLOOKUP(B9,Scales!$I$2:$K$5,3)/12,0)),0)</f>
        <v>0</v>
      </c>
      <c r="Z9" s="61">
        <f t="shared" si="4"/>
        <v>934.15</v>
      </c>
      <c r="AA9" s="17">
        <f t="shared" si="10"/>
        <v>109690.53727999999</v>
      </c>
      <c r="AB9" s="152">
        <f t="shared" si="5"/>
        <v>19867.543151999984</v>
      </c>
      <c r="AC9" s="154">
        <f t="shared" si="11"/>
        <v>19930</v>
      </c>
    </row>
    <row r="10" spans="1:29" ht="15" thickBot="1" x14ac:dyDescent="0.35">
      <c r="A10" s="33">
        <v>45078</v>
      </c>
      <c r="B10" s="16" t="str">
        <f>_xlfn.IFNA(IF(VLOOKUP($A10,Dash!$B$16:$F$20,5,TRUE)=0,B9,VLOOKUP($A10,Dash!$B$16:$F$20,5,TRUE)),"")</f>
        <v>II</v>
      </c>
      <c r="C10" s="16" t="str">
        <f>_xlfn.IFNA(IF(VLOOKUP($A10,Dash!$B$16:$F$20,4,TRUE)=0,C9,VLOOKUP($A10,Dash!$B$16:$F$20,4,TRUE)),"")</f>
        <v>II</v>
      </c>
      <c r="D10" s="16" t="str">
        <f>_xlfn.IFNA(IF(VLOOKUP($A10,Dash!$B$16:$F$20,2,TRUE)=0,D9,VLOOKUP($A10,Dash!$B$16:$F$20,2,TRUE)),"")</f>
        <v>I</v>
      </c>
      <c r="E10" s="16" t="str">
        <f>_xlfn.IFNA(IF(VLOOKUP($A10,Dash!$B$16:$F$20,3,TRUE)=0,E9,VLOOKUP($A10,Dash!$B$16:$F$20,3,TRUE)),"")</f>
        <v>I</v>
      </c>
      <c r="F10" s="54">
        <f>IF(AND(A10=Dash!$B$20,Dash!$G$20&lt;&gt;0),Dash!$G$20,(IF(AND(A10=Dash!$B$19,Dash!$G$19&lt;&gt;0),Dash!$G$19,(IF(AND(A10=Dash!$B$18,Dash!$G$18&lt;&gt;0),Dash!$G$18,IF(AND(A10=Dash!$B$17,Dash!$G$17&lt;&gt;0),Dash!$G$17,IF($A10&lt;Dash!$B$16,0,IF($A10=Dash!$B$16,Dash!$G$16,IF(MONTH($A10)=MONTH(Dash!$B$6),F9+INDEX(Scales!$E:$E,MATCH(B10&amp;F9,Scales!$C:$C,0)),F9)))))))))</f>
        <v>49910</v>
      </c>
      <c r="G10" s="55">
        <v>0.41720000000000002</v>
      </c>
      <c r="H10" s="56">
        <f t="shared" si="6"/>
        <v>20822.452000000001</v>
      </c>
      <c r="I10" s="56">
        <f>IFERROR(MIN(INDEX(Dash!$L$13:$L$15,MATCH($C10,Dash!$J$13:$J$15,0))*(F10),INDEX(Dash!$M$13:$M$15,MATCH($C10,Dash!$J$13:$J$15,0))),0)</f>
        <v>1150</v>
      </c>
      <c r="J10" s="57">
        <f>IFERROR(MIN((INDEX(Dash!$L$26:$L$29,MATCH($E10,Dash!$J$26:$J$29,0)))*(F10),INDEX(Dash!$M$26:$M$29,MATCH($E10,Dash!$J$26:$J$29,0))),0)</f>
        <v>998.2</v>
      </c>
      <c r="K10" s="57">
        <f>IFERROR(INDEX(Dash!$K$19:$K$23,MATCH($B10,Dash!$J$19:$J$23,0))*(F10)*(1+G10),0)</f>
        <v>11600.122128000001</v>
      </c>
      <c r="L10" s="56">
        <f>IFERROR(IF(AND(Dash!$B$8="Yes",Dash!$B$9&lt;=$A10),((F10)*1*INDEX(Dash!$L$8:$L$10,MATCH($D10,Dash!$J$8:$J$10,0)))*1.5,((F10)*1*INDEX(Dash!$L$8:$L$10,MATCH($D10,Dash!$J$8:$J$10,0)))),0)</f>
        <v>4491.8999999999996</v>
      </c>
      <c r="M10" s="56">
        <f>IF(AND(F10&lt;&gt;0,MONTH(A10)=4),VLOOKUP(B10,Scales!$I$2:$K$5,2),0)</f>
        <v>0</v>
      </c>
      <c r="N10" s="58">
        <f t="shared" si="7"/>
        <v>850.32</v>
      </c>
      <c r="O10" s="59">
        <f t="shared" si="8"/>
        <v>89822.994128000006</v>
      </c>
      <c r="P10" s="47"/>
      <c r="Q10" s="60">
        <f>IFERROR(INDEX(Scales!$D:$D,MATCH($B10&amp;$F10,Scales!$C:$C,0)),0)</f>
        <v>67160</v>
      </c>
      <c r="R10" s="61">
        <f>_xlfn.IFNA(IF(AND(Dash!$B$10&lt;&gt;"",Dash!$B$10&lt;=$A10),INDEX(Scales!F:F,MATCH($B10&amp;$F10,Scales!$C:$C,0)),0),0)</f>
        <v>2680</v>
      </c>
      <c r="S10" s="52">
        <v>9.9000000000000005E-2</v>
      </c>
      <c r="T10" s="61">
        <f t="shared" si="9"/>
        <v>6914.1600000000008</v>
      </c>
      <c r="U10" s="61">
        <f>IFERROR(INDEX(Dash!$N$13:$N$15,MATCH($C10,Dash!$J$13:$J$15,0)),0)</f>
        <v>1900</v>
      </c>
      <c r="V10" s="62">
        <f>IFERROR(MIN((INDEX(Dash!$L$26:$L$29,MATCH($E10,Dash!$J$26:$J$29,0)))*(Q10+R10),INDEX(Dash!$N$26:$N$29,MATCH($E10,Dash!$J$26:$J$29,0))),0)</f>
        <v>1396.8</v>
      </c>
      <c r="W10" s="62">
        <f>IFERROR(INDEX(Dash!$L$19:$L$23,MATCH($B10,Dash!$J$19:$J$23,0))*(Q10+R10)*(1+S10),0)</f>
        <v>21721.427279999996</v>
      </c>
      <c r="X10" s="61">
        <f>IFERROR(IF(AND(Dash!$B$8="Yes",Dash!$B$9&lt;=$A10),((Q10+R10)*INDEX(Dash!$M$8:$M$10,MATCH($D10,Dash!$J$8:$J$10,0)))*1.5,((Q10+R10)*INDEX(Dash!$M$8:$M$10,MATCH($D10,Dash!$J$8:$J$10,0)))),0)</f>
        <v>6984</v>
      </c>
      <c r="Y10" s="63">
        <f>_xlfn.IFNA(IF(AND(Q10&lt;&gt;0,MONTH(A10)=4),VLOOKUP(B10,Scales!$I$2:$K$5,3),IF(A10&lt;44927,VLOOKUP(B10,Scales!$I$2:$K$5,3)/12,0)),0)</f>
        <v>0</v>
      </c>
      <c r="Z10" s="61">
        <f t="shared" si="4"/>
        <v>934.15</v>
      </c>
      <c r="AA10" s="17">
        <f t="shared" si="10"/>
        <v>109690.53727999999</v>
      </c>
      <c r="AB10" s="152">
        <f t="shared" si="5"/>
        <v>19867.543151999984</v>
      </c>
      <c r="AC10" s="154">
        <f t="shared" si="11"/>
        <v>19930</v>
      </c>
    </row>
    <row r="11" spans="1:29" ht="15" thickBot="1" x14ac:dyDescent="0.35">
      <c r="A11" s="32">
        <v>45108</v>
      </c>
      <c r="B11" s="16" t="str">
        <f>_xlfn.IFNA(IF(VLOOKUP($A11,Dash!$B$16:$F$20,5,TRUE)=0,B10,VLOOKUP($A11,Dash!$B$16:$F$20,5,TRUE)),"")</f>
        <v>II</v>
      </c>
      <c r="C11" s="16" t="str">
        <f>_xlfn.IFNA(IF(VLOOKUP($A11,Dash!$B$16:$F$20,4,TRUE)=0,C10,VLOOKUP($A11,Dash!$B$16:$F$20,4,TRUE)),"")</f>
        <v>II</v>
      </c>
      <c r="D11" s="16" t="str">
        <f>_xlfn.IFNA(IF(VLOOKUP($A11,Dash!$B$16:$F$20,2,TRUE)=0,D10,VLOOKUP($A11,Dash!$B$16:$F$20,2,TRUE)),"")</f>
        <v>I</v>
      </c>
      <c r="E11" s="16" t="str">
        <f>_xlfn.IFNA(IF(VLOOKUP($A11,Dash!$B$16:$F$20,3,TRUE)=0,E10,VLOOKUP($A11,Dash!$B$16:$F$20,3,TRUE)),"")</f>
        <v>I</v>
      </c>
      <c r="F11" s="54">
        <f>IF(AND(A11=Dash!$B$20,Dash!$G$20&lt;&gt;0),Dash!$G$20,(IF(AND(A11=Dash!$B$19,Dash!$G$19&lt;&gt;0),Dash!$G$19,(IF(AND(A11=Dash!$B$18,Dash!$G$18&lt;&gt;0),Dash!$G$18,IF(AND(A11=Dash!$B$17,Dash!$G$17&lt;&gt;0),Dash!$G$17,IF($A11&lt;Dash!$B$16,0,IF($A11=Dash!$B$16,Dash!$G$16,IF(MONTH($A11)=MONTH(Dash!$B$6),F10+INDEX(Scales!$E:$E,MATCH(B11&amp;F10,Scales!$C:$C,0)),F10)))))))))</f>
        <v>49910</v>
      </c>
      <c r="G11" s="55">
        <v>0.41720000000000002</v>
      </c>
      <c r="H11" s="56">
        <f t="shared" si="6"/>
        <v>20822.452000000001</v>
      </c>
      <c r="I11" s="56">
        <f>IFERROR(MIN(INDEX(Dash!$L$13:$L$15,MATCH($C11,Dash!$J$13:$J$15,0))*(F11),INDEX(Dash!$M$13:$M$15,MATCH($C11,Dash!$J$13:$J$15,0))),0)</f>
        <v>1150</v>
      </c>
      <c r="J11" s="57">
        <f>IFERROR(MIN((INDEX(Dash!$L$26:$L$29,MATCH($E11,Dash!$J$26:$J$29,0)))*(F11),INDEX(Dash!$M$26:$M$29,MATCH($E11,Dash!$J$26:$J$29,0))),0)</f>
        <v>998.2</v>
      </c>
      <c r="K11" s="57">
        <f>IFERROR(INDEX(Dash!$K$19:$K$23,MATCH($B11,Dash!$J$19:$J$23,0))*(F11)*(1+G11),0)</f>
        <v>11600.122128000001</v>
      </c>
      <c r="L11" s="56">
        <f>IFERROR(IF(AND(Dash!$B$8="Yes",Dash!$B$9&lt;=$A11),((F11)*1*INDEX(Dash!$L$8:$L$10,MATCH($D11,Dash!$J$8:$J$10,0)))*1.5,((F11)*1*INDEX(Dash!$L$8:$L$10,MATCH($D11,Dash!$J$8:$J$10,0)))),0)</f>
        <v>4491.8999999999996</v>
      </c>
      <c r="M11" s="56">
        <f>IF(AND(F11&lt;&gt;0,MONTH(A11)=4),VLOOKUP(B11,Scales!$I$2:$K$5,2),0)</f>
        <v>0</v>
      </c>
      <c r="N11" s="58">
        <f t="shared" si="7"/>
        <v>850.32</v>
      </c>
      <c r="O11" s="59">
        <f t="shared" si="8"/>
        <v>89822.994128000006</v>
      </c>
      <c r="P11" s="47"/>
      <c r="Q11" s="60">
        <f>IFERROR(INDEX(Scales!$D:$D,MATCH($B11&amp;$F11,Scales!$C:$C,0)),0)</f>
        <v>67160</v>
      </c>
      <c r="R11" s="61">
        <f>_xlfn.IFNA(IF(AND(Dash!$B$10&lt;&gt;"",Dash!$B$10&lt;=$A11),INDEX(Scales!F:F,MATCH($B11&amp;$F11,Scales!$C:$C,0)),0),0)</f>
        <v>2680</v>
      </c>
      <c r="S11" s="52">
        <v>9.9000000000000005E-2</v>
      </c>
      <c r="T11" s="61">
        <f t="shared" si="9"/>
        <v>6914.1600000000008</v>
      </c>
      <c r="U11" s="61">
        <f>IFERROR(INDEX(Dash!$N$13:$N$15,MATCH($C11,Dash!$J$13:$J$15,0)),0)</f>
        <v>1900</v>
      </c>
      <c r="V11" s="62">
        <f>IFERROR(MIN((INDEX(Dash!$L$26:$L$29,MATCH($E11,Dash!$J$26:$J$29,0)))*(Q11+R11),INDEX(Dash!$N$26:$N$29,MATCH($E11,Dash!$J$26:$J$29,0))),0)</f>
        <v>1396.8</v>
      </c>
      <c r="W11" s="62">
        <f>IFERROR(INDEX(Dash!$L$19:$L$23,MATCH($B11,Dash!$J$19:$J$23,0))*(Q11+R11)*(1+S11),0)</f>
        <v>21721.427279999996</v>
      </c>
      <c r="X11" s="61">
        <f>IFERROR(IF(AND(Dash!$B$8="Yes",Dash!$B$9&lt;=$A11),((Q11+R11)*INDEX(Dash!$M$8:$M$10,MATCH($D11,Dash!$J$8:$J$10,0)))*1.5,((Q11+R11)*INDEX(Dash!$M$8:$M$10,MATCH($D11,Dash!$J$8:$J$10,0)))),0)</f>
        <v>6984</v>
      </c>
      <c r="Y11" s="63">
        <f>_xlfn.IFNA(IF(AND(Q11&lt;&gt;0,MONTH(A11)=4),VLOOKUP(B11,Scales!$I$2:$K$5,3),IF(A11&lt;44927,VLOOKUP(B11,Scales!$I$2:$K$5,3)/12,0)),0)</f>
        <v>0</v>
      </c>
      <c r="Z11" s="61">
        <f t="shared" si="4"/>
        <v>934.15</v>
      </c>
      <c r="AA11" s="17">
        <f t="shared" si="10"/>
        <v>109690.53727999999</v>
      </c>
      <c r="AB11" s="152">
        <f t="shared" si="5"/>
        <v>19867.543151999984</v>
      </c>
      <c r="AC11" s="154">
        <f t="shared" si="11"/>
        <v>19930</v>
      </c>
    </row>
    <row r="12" spans="1:29" ht="15" thickBot="1" x14ac:dyDescent="0.35">
      <c r="A12" s="33">
        <v>45139</v>
      </c>
      <c r="B12" s="16" t="str">
        <f>_xlfn.IFNA(IF(VLOOKUP($A12,Dash!$B$16:$F$20,5,TRUE)=0,B11,VLOOKUP($A12,Dash!$B$16:$F$20,5,TRUE)),"")</f>
        <v>II</v>
      </c>
      <c r="C12" s="16" t="str">
        <f>_xlfn.IFNA(IF(VLOOKUP($A12,Dash!$B$16:$F$20,4,TRUE)=0,C11,VLOOKUP($A12,Dash!$B$16:$F$20,4,TRUE)),"")</f>
        <v>II</v>
      </c>
      <c r="D12" s="16" t="str">
        <f>_xlfn.IFNA(IF(VLOOKUP($A12,Dash!$B$16:$F$20,2,TRUE)=0,D11,VLOOKUP($A12,Dash!$B$16:$F$20,2,TRUE)),"")</f>
        <v>I</v>
      </c>
      <c r="E12" s="16" t="str">
        <f>_xlfn.IFNA(IF(VLOOKUP($A12,Dash!$B$16:$F$20,3,TRUE)=0,E11,VLOOKUP($A12,Dash!$B$16:$F$20,3,TRUE)),"")</f>
        <v>I</v>
      </c>
      <c r="F12" s="54">
        <f>IF(AND(A12=Dash!$B$20,Dash!$G$20&lt;&gt;0),Dash!$G$20,(IF(AND(A12=Dash!$B$19,Dash!$G$19&lt;&gt;0),Dash!$G$19,(IF(AND(A12=Dash!$B$18,Dash!$G$18&lt;&gt;0),Dash!$G$18,IF(AND(A12=Dash!$B$17,Dash!$G$17&lt;&gt;0),Dash!$G$17,IF($A12&lt;Dash!$B$16,0,IF($A12=Dash!$B$16,Dash!$G$16,IF(MONTH($A12)=MONTH(Dash!$B$6),F11+INDEX(Scales!$E:$E,MATCH(B12&amp;F11,Scales!$C:$C,0)),F11)))))))))</f>
        <v>49910</v>
      </c>
      <c r="G12" s="55">
        <v>0.44240000000000002</v>
      </c>
      <c r="H12" s="56">
        <f t="shared" si="6"/>
        <v>22080.184000000001</v>
      </c>
      <c r="I12" s="56">
        <f>IFERROR(MIN(INDEX(Dash!$L$13:$L$15,MATCH($C12,Dash!$J$13:$J$15,0))*(F12),INDEX(Dash!$M$13:$M$15,MATCH($C12,Dash!$J$13:$J$15,0))),0)</f>
        <v>1150</v>
      </c>
      <c r="J12" s="57">
        <f>IFERROR(MIN((INDEX(Dash!$L$26:$L$29,MATCH($E12,Dash!$J$26:$J$29,0)))*(F12),INDEX(Dash!$M$26:$M$29,MATCH($E12,Dash!$J$26:$J$29,0))),0)</f>
        <v>998.2</v>
      </c>
      <c r="K12" s="57">
        <f>IFERROR(INDEX(Dash!$K$19:$K$23,MATCH($B12,Dash!$J$19:$J$23,0))*(F12)*(1+G12),0)</f>
        <v>11806.390176000003</v>
      </c>
      <c r="L12" s="56">
        <f>IFERROR(IF(AND(Dash!$B$8="Yes",Dash!$B$9&lt;=$A12),((F12)*1*INDEX(Dash!$L$8:$L$10,MATCH($D12,Dash!$J$8:$J$10,0)))*1.5,((F12)*1*INDEX(Dash!$L$8:$L$10,MATCH($D12,Dash!$J$8:$J$10,0)))),0)</f>
        <v>4491.8999999999996</v>
      </c>
      <c r="M12" s="56">
        <f>IF(AND(F12&lt;&gt;0,MONTH(A12)=4),VLOOKUP(B12,Scales!$I$2:$K$5,2),0)</f>
        <v>0</v>
      </c>
      <c r="N12" s="58">
        <f t="shared" si="7"/>
        <v>865.44</v>
      </c>
      <c r="O12" s="59">
        <f t="shared" si="8"/>
        <v>91302.114176000003</v>
      </c>
      <c r="P12" s="47"/>
      <c r="Q12" s="60">
        <f>IFERROR(INDEX(Scales!$D:$D,MATCH($B12&amp;$F12,Scales!$C:$C,0)),0)</f>
        <v>67160</v>
      </c>
      <c r="R12" s="61">
        <f>_xlfn.IFNA(IF(AND(Dash!$B$10&lt;&gt;"",Dash!$B$10&lt;=$A12),INDEX(Scales!F:F,MATCH($B12&amp;$F12,Scales!$C:$C,0)),0),0)</f>
        <v>2680</v>
      </c>
      <c r="S12" s="52">
        <v>0.1207</v>
      </c>
      <c r="T12" s="61">
        <f t="shared" si="9"/>
        <v>8429.6880000000001</v>
      </c>
      <c r="U12" s="61">
        <f>IFERROR(INDEX(Dash!$N$13:$N$15,MATCH($C12,Dash!$J$13:$J$15,0)),0)</f>
        <v>1900</v>
      </c>
      <c r="V12" s="62">
        <f>IFERROR(MIN((INDEX(Dash!$L$26:$L$29,MATCH($E12,Dash!$J$26:$J$29,0)))*(Q12+R12),INDEX(Dash!$N$26:$N$29,MATCH($E12,Dash!$J$26:$J$29,0))),0)</f>
        <v>1396.8</v>
      </c>
      <c r="W12" s="62">
        <f>IFERROR(INDEX(Dash!$L$19:$L$23,MATCH($B12,Dash!$J$19:$J$23,0))*(Q12+R12)*(1+S12),0)</f>
        <v>22150.321703999998</v>
      </c>
      <c r="X12" s="61">
        <f>IFERROR(IF(AND(Dash!$B$8="Yes",Dash!$B$9&lt;=$A12),((Q12+R12)*INDEX(Dash!$M$8:$M$10,MATCH($D12,Dash!$J$8:$J$10,0)))*1.5,((Q12+R12)*INDEX(Dash!$M$8:$M$10,MATCH($D12,Dash!$J$8:$J$10,0)))),0)</f>
        <v>6984</v>
      </c>
      <c r="Y12" s="63">
        <f>_xlfn.IFNA(IF(AND(Q12&lt;&gt;0,MONTH(A12)=4),VLOOKUP(B12,Scales!$I$2:$K$5,3),IF(A12&lt;44927,VLOOKUP(B12,Scales!$I$2:$K$5,3)/12,0)),0)</f>
        <v>0</v>
      </c>
      <c r="Z12" s="61">
        <f t="shared" si="4"/>
        <v>952.59500000000003</v>
      </c>
      <c r="AA12" s="17">
        <f t="shared" si="10"/>
        <v>111653.404704</v>
      </c>
      <c r="AB12" s="152">
        <f t="shared" si="5"/>
        <v>20351.290527999998</v>
      </c>
      <c r="AC12" s="154">
        <f t="shared" si="11"/>
        <v>19930</v>
      </c>
    </row>
    <row r="13" spans="1:29" ht="15" thickBot="1" x14ac:dyDescent="0.35">
      <c r="A13" s="32">
        <v>45170</v>
      </c>
      <c r="B13" s="16" t="str">
        <f>_xlfn.IFNA(IF(VLOOKUP($A13,Dash!$B$16:$F$20,5,TRUE)=0,B12,VLOOKUP($A13,Dash!$B$16:$F$20,5,TRUE)),"")</f>
        <v>II</v>
      </c>
      <c r="C13" s="16" t="str">
        <f>_xlfn.IFNA(IF(VLOOKUP($A13,Dash!$B$16:$F$20,4,TRUE)=0,C12,VLOOKUP($A13,Dash!$B$16:$F$20,4,TRUE)),"")</f>
        <v>II</v>
      </c>
      <c r="D13" s="16" t="str">
        <f>_xlfn.IFNA(IF(VLOOKUP($A13,Dash!$B$16:$F$20,2,TRUE)=0,D12,VLOOKUP($A13,Dash!$B$16:$F$20,2,TRUE)),"")</f>
        <v>I</v>
      </c>
      <c r="E13" s="16" t="str">
        <f>_xlfn.IFNA(IF(VLOOKUP($A13,Dash!$B$16:$F$20,3,TRUE)=0,E12,VLOOKUP($A13,Dash!$B$16:$F$20,3,TRUE)),"")</f>
        <v>I</v>
      </c>
      <c r="F13" s="54">
        <f>IF(AND(A13=Dash!$B$20,Dash!$G$20&lt;&gt;0),Dash!$G$20,(IF(AND(A13=Dash!$B$19,Dash!$G$19&lt;&gt;0),Dash!$G$19,(IF(AND(A13=Dash!$B$18,Dash!$G$18&lt;&gt;0),Dash!$G$18,IF(AND(A13=Dash!$B$17,Dash!$G$17&lt;&gt;0),Dash!$G$17,IF($A13&lt;Dash!$B$16,0,IF($A13=Dash!$B$16,Dash!$G$16,IF(MONTH($A13)=MONTH(Dash!$B$6),F12+INDEX(Scales!$E:$E,MATCH(B13&amp;F12,Scales!$C:$C,0)),F12)))))))))</f>
        <v>49910</v>
      </c>
      <c r="G13" s="55">
        <v>0.44240000000000002</v>
      </c>
      <c r="H13" s="56">
        <f t="shared" si="6"/>
        <v>22080.184000000001</v>
      </c>
      <c r="I13" s="56">
        <f>IFERROR(MIN(INDEX(Dash!$L$13:$L$15,MATCH($C13,Dash!$J$13:$J$15,0))*(F13),INDEX(Dash!$M$13:$M$15,MATCH($C13,Dash!$J$13:$J$15,0))),0)</f>
        <v>1150</v>
      </c>
      <c r="J13" s="57">
        <f>IFERROR(MIN((INDEX(Dash!$L$26:$L$29,MATCH($E13,Dash!$J$26:$J$29,0)))*(F13),INDEX(Dash!$M$26:$M$29,MATCH($E13,Dash!$J$26:$J$29,0))),0)</f>
        <v>998.2</v>
      </c>
      <c r="K13" s="57">
        <f>IFERROR(INDEX(Dash!$K$19:$K$23,MATCH($B13,Dash!$J$19:$J$23,0))*(F13)*(1+G13),0)</f>
        <v>11806.390176000003</v>
      </c>
      <c r="L13" s="56">
        <f>IFERROR(IF(AND(Dash!$B$8="Yes",Dash!$B$9&lt;=$A13),((F13)*1*INDEX(Dash!$L$8:$L$10,MATCH($D13,Dash!$J$8:$J$10,0)))*1.5,((F13)*1*INDEX(Dash!$L$8:$L$10,MATCH($D13,Dash!$J$8:$J$10,0)))),0)</f>
        <v>4491.8999999999996</v>
      </c>
      <c r="M13" s="56">
        <f>IF(AND(F13&lt;&gt;0,MONTH(A13)=4),VLOOKUP(B13,Scales!$I$2:$K$5,2),0)</f>
        <v>0</v>
      </c>
      <c r="N13" s="58">
        <f t="shared" si="7"/>
        <v>865.44</v>
      </c>
      <c r="O13" s="59">
        <f t="shared" si="8"/>
        <v>91302.114176000003</v>
      </c>
      <c r="P13" s="47"/>
      <c r="Q13" s="60">
        <f>IFERROR(INDEX(Scales!$D:$D,MATCH($B13&amp;$F13,Scales!$C:$C,0)),0)</f>
        <v>67160</v>
      </c>
      <c r="R13" s="61">
        <f>_xlfn.IFNA(IF(AND(Dash!$B$10&lt;&gt;"",Dash!$B$10&lt;=$A13),INDEX(Scales!F:F,MATCH($B13&amp;$F13,Scales!$C:$C,0)),0),0)</f>
        <v>2680</v>
      </c>
      <c r="S13" s="52">
        <v>0.1207</v>
      </c>
      <c r="T13" s="61">
        <f t="shared" si="9"/>
        <v>8429.6880000000001</v>
      </c>
      <c r="U13" s="61">
        <f>IFERROR(INDEX(Dash!$N$13:$N$15,MATCH($C13,Dash!$J$13:$J$15,0)),0)</f>
        <v>1900</v>
      </c>
      <c r="V13" s="62">
        <f>IFERROR(MIN((INDEX(Dash!$L$26:$L$29,MATCH($E13,Dash!$J$26:$J$29,0)))*(Q13+R13),INDEX(Dash!$N$26:$N$29,MATCH($E13,Dash!$J$26:$J$29,0))),0)</f>
        <v>1396.8</v>
      </c>
      <c r="W13" s="62">
        <f>IFERROR(INDEX(Dash!$L$19:$L$23,MATCH($B13,Dash!$J$19:$J$23,0))*(Q13+R13)*(1+S13),0)</f>
        <v>22150.321703999998</v>
      </c>
      <c r="X13" s="61">
        <f>IFERROR(IF(AND(Dash!$B$8="Yes",Dash!$B$9&lt;=$A13),((Q13+R13)*INDEX(Dash!$M$8:$M$10,MATCH($D13,Dash!$J$8:$J$10,0)))*1.5,((Q13+R13)*INDEX(Dash!$M$8:$M$10,MATCH($D13,Dash!$J$8:$J$10,0)))),0)</f>
        <v>6984</v>
      </c>
      <c r="Y13" s="63">
        <f>_xlfn.IFNA(IF(AND(Q13&lt;&gt;0,MONTH(A13)=4),VLOOKUP(B13,Scales!$I$2:$K$5,3),IF(A13&lt;44927,VLOOKUP(B13,Scales!$I$2:$K$5,3)/12,0)),0)</f>
        <v>0</v>
      </c>
      <c r="Z13" s="61">
        <f t="shared" si="4"/>
        <v>952.59500000000003</v>
      </c>
      <c r="AA13" s="17">
        <f t="shared" si="10"/>
        <v>111653.404704</v>
      </c>
      <c r="AB13" s="152">
        <f t="shared" si="5"/>
        <v>20351.290527999998</v>
      </c>
      <c r="AC13" s="154">
        <f t="shared" si="11"/>
        <v>19930</v>
      </c>
    </row>
    <row r="14" spans="1:29" ht="15" thickBot="1" x14ac:dyDescent="0.35">
      <c r="A14" s="33">
        <v>45200</v>
      </c>
      <c r="B14" s="16" t="str">
        <f>_xlfn.IFNA(IF(VLOOKUP($A14,Dash!$B$16:$F$20,5,TRUE)=0,B13,VLOOKUP($A14,Dash!$B$16:$F$20,5,TRUE)),"")</f>
        <v>II</v>
      </c>
      <c r="C14" s="16" t="str">
        <f>_xlfn.IFNA(IF(VLOOKUP($A14,Dash!$B$16:$F$20,4,TRUE)=0,C13,VLOOKUP($A14,Dash!$B$16:$F$20,4,TRUE)),"")</f>
        <v>II</v>
      </c>
      <c r="D14" s="16" t="str">
        <f>_xlfn.IFNA(IF(VLOOKUP($A14,Dash!$B$16:$F$20,2,TRUE)=0,D13,VLOOKUP($A14,Dash!$B$16:$F$20,2,TRUE)),"")</f>
        <v>I</v>
      </c>
      <c r="E14" s="16" t="str">
        <f>_xlfn.IFNA(IF(VLOOKUP($A14,Dash!$B$16:$F$20,3,TRUE)=0,E13,VLOOKUP($A14,Dash!$B$16:$F$20,3,TRUE)),"")</f>
        <v>I</v>
      </c>
      <c r="F14" s="54">
        <f>IF(AND(A14=Dash!$B$20,Dash!$G$20&lt;&gt;0),Dash!$G$20,(IF(AND(A14=Dash!$B$19,Dash!$G$19&lt;&gt;0),Dash!$G$19,(IF(AND(A14=Dash!$B$18,Dash!$G$18&lt;&gt;0),Dash!$G$18,IF(AND(A14=Dash!$B$17,Dash!$G$17&lt;&gt;0),Dash!$G$17,IF($A14&lt;Dash!$B$16,0,IF($A14=Dash!$B$16,Dash!$G$16,IF(MONTH($A14)=MONTH(Dash!$B$6),F13+INDEX(Scales!$E:$E,MATCH(B14&amp;F13,Scales!$C:$C,0)),F13)))))))))</f>
        <v>49910</v>
      </c>
      <c r="G14" s="55">
        <v>0.44240000000000002</v>
      </c>
      <c r="H14" s="56">
        <f t="shared" si="6"/>
        <v>22080.184000000001</v>
      </c>
      <c r="I14" s="56">
        <f>IFERROR(MIN(INDEX(Dash!$L$13:$L$15,MATCH($C14,Dash!$J$13:$J$15,0))*(F14),INDEX(Dash!$M$13:$M$15,MATCH($C14,Dash!$J$13:$J$15,0))),0)</f>
        <v>1150</v>
      </c>
      <c r="J14" s="57">
        <f>IFERROR(MIN((INDEX(Dash!$L$26:$L$29,MATCH($E14,Dash!$J$26:$J$29,0)))*(F14),INDEX(Dash!$M$26:$M$29,MATCH($E14,Dash!$J$26:$J$29,0))),0)</f>
        <v>998.2</v>
      </c>
      <c r="K14" s="57">
        <f>IFERROR(INDEX(Dash!$K$19:$K$23,MATCH($B14,Dash!$J$19:$J$23,0))*(F14)*(1+G14),0)</f>
        <v>11806.390176000003</v>
      </c>
      <c r="L14" s="56">
        <f>IFERROR(IF(AND(Dash!$B$8="Yes",Dash!$B$9&lt;=$A14),((F14)*1*INDEX(Dash!$L$8:$L$10,MATCH($D14,Dash!$J$8:$J$10,0)))*1.5,((F14)*1*INDEX(Dash!$L$8:$L$10,MATCH($D14,Dash!$J$8:$J$10,0)))),0)</f>
        <v>4491.8999999999996</v>
      </c>
      <c r="M14" s="56">
        <f>IF(AND(F14&lt;&gt;0,MONTH(A14)=4),VLOOKUP(B14,Scales!$I$2:$K$5,2),0)</f>
        <v>0</v>
      </c>
      <c r="N14" s="58">
        <f t="shared" si="7"/>
        <v>865.44</v>
      </c>
      <c r="O14" s="59">
        <f t="shared" si="8"/>
        <v>91302.114176000003</v>
      </c>
      <c r="P14" s="47"/>
      <c r="Q14" s="60">
        <f>IFERROR(INDEX(Scales!$D:$D,MATCH($B14&amp;$F14,Scales!$C:$C,0)),0)</f>
        <v>67160</v>
      </c>
      <c r="R14" s="61">
        <f>_xlfn.IFNA(IF(AND(Dash!$B$10&lt;&gt;"",Dash!$B$10&lt;=$A14),INDEX(Scales!F:F,MATCH($B14&amp;$F14,Scales!$C:$C,0)),0),0)</f>
        <v>2680</v>
      </c>
      <c r="S14" s="52">
        <v>0.1207</v>
      </c>
      <c r="T14" s="61">
        <f t="shared" si="9"/>
        <v>8429.6880000000001</v>
      </c>
      <c r="U14" s="61">
        <f>IFERROR(INDEX(Dash!$N$13:$N$15,MATCH($C14,Dash!$J$13:$J$15,0)),0)</f>
        <v>1900</v>
      </c>
      <c r="V14" s="62">
        <f>IFERROR(MIN((INDEX(Dash!$L$26:$L$29,MATCH($E14,Dash!$J$26:$J$29,0)))*(Q14+R14),INDEX(Dash!$N$26:$N$29,MATCH($E14,Dash!$J$26:$J$29,0))),0)</f>
        <v>1396.8</v>
      </c>
      <c r="W14" s="62">
        <f>IFERROR(INDEX(Dash!$L$19:$L$23,MATCH($B14,Dash!$J$19:$J$23,0))*(Q14+R14)*(1+S14),0)</f>
        <v>22150.321703999998</v>
      </c>
      <c r="X14" s="61">
        <f>IFERROR(IF(AND(Dash!$B$8="Yes",Dash!$B$9&lt;=$A14),((Q14+R14)*INDEX(Dash!$M$8:$M$10,MATCH($D14,Dash!$J$8:$J$10,0)))*1.5,((Q14+R14)*INDEX(Dash!$M$8:$M$10,MATCH($D14,Dash!$J$8:$J$10,0)))),0)</f>
        <v>6984</v>
      </c>
      <c r="Y14" s="63">
        <f>_xlfn.IFNA(IF(AND(Q14&lt;&gt;0,MONTH(A14)=4),VLOOKUP(B14,Scales!$I$2:$K$5,3),IF(A14&lt;44927,VLOOKUP(B14,Scales!$I$2:$K$5,3)/12,0)),0)</f>
        <v>0</v>
      </c>
      <c r="Z14" s="61">
        <f t="shared" si="4"/>
        <v>952.59500000000003</v>
      </c>
      <c r="AA14" s="17">
        <f t="shared" si="10"/>
        <v>111653.404704</v>
      </c>
      <c r="AB14" s="152">
        <f t="shared" si="5"/>
        <v>20351.290527999998</v>
      </c>
      <c r="AC14" s="154">
        <f t="shared" si="11"/>
        <v>19930</v>
      </c>
    </row>
    <row r="15" spans="1:29" ht="15" thickBot="1" x14ac:dyDescent="0.35">
      <c r="A15" s="32">
        <v>45231</v>
      </c>
      <c r="B15" s="16" t="str">
        <f>_xlfn.IFNA(IF(VLOOKUP($A15,Dash!$B$16:$F$20,5,TRUE)=0,B14,VLOOKUP($A15,Dash!$B$16:$F$20,5,TRUE)),"")</f>
        <v>II</v>
      </c>
      <c r="C15" s="16" t="str">
        <f>_xlfn.IFNA(IF(VLOOKUP($A15,Dash!$B$16:$F$20,4,TRUE)=0,C14,VLOOKUP($A15,Dash!$B$16:$F$20,4,TRUE)),"")</f>
        <v>II</v>
      </c>
      <c r="D15" s="16" t="str">
        <f>_xlfn.IFNA(IF(VLOOKUP($A15,Dash!$B$16:$F$20,2,TRUE)=0,D14,VLOOKUP($A15,Dash!$B$16:$F$20,2,TRUE)),"")</f>
        <v>I</v>
      </c>
      <c r="E15" s="16" t="str">
        <f>_xlfn.IFNA(IF(VLOOKUP($A15,Dash!$B$16:$F$20,3,TRUE)=0,E14,VLOOKUP($A15,Dash!$B$16:$F$20,3,TRUE)),"")</f>
        <v>I</v>
      </c>
      <c r="F15" s="54">
        <f>IF(AND(A15=Dash!$B$20,Dash!$G$20&lt;&gt;0),Dash!$G$20,(IF(AND(A15=Dash!$B$19,Dash!$G$19&lt;&gt;0),Dash!$G$19,(IF(AND(A15=Dash!$B$18,Dash!$G$18&lt;&gt;0),Dash!$G$18,IF(AND(A15=Dash!$B$17,Dash!$G$17&lt;&gt;0),Dash!$G$17,IF($A15&lt;Dash!$B$16,0,IF($A15=Dash!$B$16,Dash!$G$16,IF(MONTH($A15)=MONTH(Dash!$B$6),F14+INDEX(Scales!$E:$E,MATCH(B15&amp;F14,Scales!$C:$C,0)),F14)))))))))</f>
        <v>49910</v>
      </c>
      <c r="G15" s="55">
        <v>0.48509999999999998</v>
      </c>
      <c r="H15" s="56">
        <f t="shared" si="6"/>
        <v>24211.341</v>
      </c>
      <c r="I15" s="56">
        <f>IFERROR(MIN(INDEX(Dash!$L$13:$L$15,MATCH($C15,Dash!$J$13:$J$15,0))*(F15),INDEX(Dash!$M$13:$M$15,MATCH($C15,Dash!$J$13:$J$15,0))),0)</f>
        <v>1150</v>
      </c>
      <c r="J15" s="57">
        <f>IFERROR(MIN((INDEX(Dash!$L$26:$L$29,MATCH($E15,Dash!$J$26:$J$29,0)))*(F15),INDEX(Dash!$M$26:$M$29,MATCH($E15,Dash!$J$26:$J$29,0))),0)</f>
        <v>998.2</v>
      </c>
      <c r="K15" s="57">
        <f>IFERROR(INDEX(Dash!$K$19:$K$23,MATCH($B15,Dash!$J$19:$J$23,0))*(F15)*(1+G15),0)</f>
        <v>12155.899924000001</v>
      </c>
      <c r="L15" s="56">
        <f>IFERROR(IF(AND(Dash!$B$8="Yes",Dash!$B$9&lt;=$A15),((F15)*1*INDEX(Dash!$L$8:$L$10,MATCH($D15,Dash!$J$8:$J$10,0)))*1.5,((F15)*1*INDEX(Dash!$L$8:$L$10,MATCH($D15,Dash!$J$8:$J$10,0)))),0)</f>
        <v>4491.8999999999996</v>
      </c>
      <c r="M15" s="56">
        <f>IF(AND(F15&lt;&gt;0,MONTH(A15)=4),VLOOKUP(B15,Scales!$I$2:$K$5,2),0)</f>
        <v>0</v>
      </c>
      <c r="N15" s="58">
        <f t="shared" si="7"/>
        <v>891.06000000000006</v>
      </c>
      <c r="O15" s="59">
        <f t="shared" si="8"/>
        <v>93808.400923999987</v>
      </c>
      <c r="P15" s="47"/>
      <c r="Q15" s="60">
        <f>IFERROR(INDEX(Scales!$D:$D,MATCH($B15&amp;$F15,Scales!$C:$C,0)),0)</f>
        <v>67160</v>
      </c>
      <c r="R15" s="61">
        <f>_xlfn.IFNA(IF(AND(Dash!$B$10&lt;&gt;"",Dash!$B$10&lt;=$A15),INDEX(Scales!F:F,MATCH($B15&amp;$F15,Scales!$C:$C,0)),0),0)</f>
        <v>2680</v>
      </c>
      <c r="S15" s="52">
        <v>0.15770000000000001</v>
      </c>
      <c r="T15" s="61">
        <f t="shared" si="9"/>
        <v>11013.768</v>
      </c>
      <c r="U15" s="61">
        <f>IFERROR(INDEX(Dash!$N$13:$N$15,MATCH($C15,Dash!$J$13:$J$15,0)),0)</f>
        <v>1900</v>
      </c>
      <c r="V15" s="62">
        <f>IFERROR(MIN((INDEX(Dash!$L$26:$L$29,MATCH($E15,Dash!$J$26:$J$29,0)))*(Q15+R15),INDEX(Dash!$N$26:$N$29,MATCH($E15,Dash!$J$26:$J$29,0))),0)</f>
        <v>1396.8</v>
      </c>
      <c r="W15" s="62">
        <f>IFERROR(INDEX(Dash!$L$19:$L$23,MATCH($B15,Dash!$J$19:$J$23,0))*(Q15+R15)*(1+S15),0)</f>
        <v>22881.616343999995</v>
      </c>
      <c r="X15" s="61">
        <f>IFERROR(IF(AND(Dash!$B$8="Yes",Dash!$B$9&lt;=$A15),((Q15+R15)*INDEX(Dash!$M$8:$M$10,MATCH($D15,Dash!$J$8:$J$10,0)))*1.5,((Q15+R15)*INDEX(Dash!$M$8:$M$10,MATCH($D15,Dash!$J$8:$J$10,0)))),0)</f>
        <v>6984</v>
      </c>
      <c r="Y15" s="63">
        <f>_xlfn.IFNA(IF(AND(Q15&lt;&gt;0,MONTH(A15)=4),VLOOKUP(B15,Scales!$I$2:$K$5,3),IF(A15&lt;44927,VLOOKUP(B15,Scales!$I$2:$K$5,3)/12,0)),0)</f>
        <v>0</v>
      </c>
      <c r="Z15" s="61">
        <f t="shared" si="4"/>
        <v>984.04499999999996</v>
      </c>
      <c r="AA15" s="17">
        <f t="shared" si="10"/>
        <v>115000.22934399999</v>
      </c>
      <c r="AB15" s="152">
        <f t="shared" si="5"/>
        <v>21191.828420000005</v>
      </c>
      <c r="AC15" s="154">
        <f t="shared" si="11"/>
        <v>19930</v>
      </c>
    </row>
    <row r="16" spans="1:29" ht="15" thickBot="1" x14ac:dyDescent="0.35">
      <c r="A16" s="33">
        <v>45261</v>
      </c>
      <c r="B16" s="16" t="str">
        <f>_xlfn.IFNA(IF(VLOOKUP($A16,Dash!$B$16:$F$20,5,TRUE)=0,B15,VLOOKUP($A16,Dash!$B$16:$F$20,5,TRUE)),"")</f>
        <v>II</v>
      </c>
      <c r="C16" s="16" t="str">
        <f>_xlfn.IFNA(IF(VLOOKUP($A16,Dash!$B$16:$F$20,4,TRUE)=0,C15,VLOOKUP($A16,Dash!$B$16:$F$20,4,TRUE)),"")</f>
        <v>II</v>
      </c>
      <c r="D16" s="16" t="str">
        <f>_xlfn.IFNA(IF(VLOOKUP($A16,Dash!$B$16:$F$20,2,TRUE)=0,D15,VLOOKUP($A16,Dash!$B$16:$F$20,2,TRUE)),"")</f>
        <v>I</v>
      </c>
      <c r="E16" s="16" t="str">
        <f>_xlfn.IFNA(IF(VLOOKUP($A16,Dash!$B$16:$F$20,3,TRUE)=0,E15,VLOOKUP($A16,Dash!$B$16:$F$20,3,TRUE)),"")</f>
        <v>I</v>
      </c>
      <c r="F16" s="54">
        <f>IF(AND(A16=Dash!$B$20,Dash!$G$20&lt;&gt;0),Dash!$G$20,(IF(AND(A16=Dash!$B$19,Dash!$G$19&lt;&gt;0),Dash!$G$19,(IF(AND(A16=Dash!$B$18,Dash!$G$18&lt;&gt;0),Dash!$G$18,IF(AND(A16=Dash!$B$17,Dash!$G$17&lt;&gt;0),Dash!$G$17,IF($A16&lt;Dash!$B$16,0,IF($A16=Dash!$B$16,Dash!$G$16,IF(MONTH($A16)=MONTH(Dash!$B$6),F15+INDEX(Scales!$E:$E,MATCH(B16&amp;F15,Scales!$C:$C,0)),F15)))))))))</f>
        <v>49910</v>
      </c>
      <c r="G16" s="55">
        <v>0.48509999999999998</v>
      </c>
      <c r="H16" s="56">
        <f t="shared" si="6"/>
        <v>24211.341</v>
      </c>
      <c r="I16" s="56">
        <f>IFERROR(MIN(INDEX(Dash!$L$13:$L$15,MATCH($C16,Dash!$J$13:$J$15,0))*(F16),INDEX(Dash!$M$13:$M$15,MATCH($C16,Dash!$J$13:$J$15,0))),0)</f>
        <v>1150</v>
      </c>
      <c r="J16" s="57">
        <f>IFERROR(MIN((INDEX(Dash!$L$26:$L$29,MATCH($E16,Dash!$J$26:$J$29,0)))*(F16),INDEX(Dash!$M$26:$M$29,MATCH($E16,Dash!$J$26:$J$29,0))),0)</f>
        <v>998.2</v>
      </c>
      <c r="K16" s="57">
        <f>IFERROR(INDEX(Dash!$K$19:$K$23,MATCH($B16,Dash!$J$19:$J$23,0))*(F16)*(1+G16),0)</f>
        <v>12155.899924000001</v>
      </c>
      <c r="L16" s="56">
        <f>IFERROR(IF(AND(Dash!$B$8="Yes",Dash!$B$9&lt;=$A16),((F16)*1*INDEX(Dash!$L$8:$L$10,MATCH($D16,Dash!$J$8:$J$10,0)))*1.5,((F16)*1*INDEX(Dash!$L$8:$L$10,MATCH($D16,Dash!$J$8:$J$10,0)))),0)</f>
        <v>4491.8999999999996</v>
      </c>
      <c r="M16" s="56">
        <f>IF(AND(F16&lt;&gt;0,MONTH(A16)=4),VLOOKUP(B16,Scales!$I$2:$K$5,2),0)</f>
        <v>0</v>
      </c>
      <c r="N16" s="58">
        <f t="shared" si="7"/>
        <v>891.06000000000006</v>
      </c>
      <c r="O16" s="59">
        <f t="shared" si="8"/>
        <v>93808.400923999987</v>
      </c>
      <c r="P16" s="47"/>
      <c r="Q16" s="60">
        <f>IFERROR(INDEX(Scales!$D:$D,MATCH($B16&amp;$F16,Scales!$C:$C,0)),0)</f>
        <v>67160</v>
      </c>
      <c r="R16" s="61">
        <f>_xlfn.IFNA(IF(AND(Dash!$B$10&lt;&gt;"",Dash!$B$10&lt;=$A16),INDEX(Scales!F:F,MATCH($B16&amp;$F16,Scales!$C:$C,0)),0),0)</f>
        <v>2680</v>
      </c>
      <c r="S16" s="52">
        <v>0.15770000000000001</v>
      </c>
      <c r="T16" s="61">
        <f t="shared" si="9"/>
        <v>11013.768</v>
      </c>
      <c r="U16" s="61">
        <f>IFERROR(INDEX(Dash!$N$13:$N$15,MATCH($C16,Dash!$J$13:$J$15,0)),0)</f>
        <v>1900</v>
      </c>
      <c r="V16" s="62">
        <f>IFERROR(MIN((INDEX(Dash!$L$26:$L$29,MATCH($E16,Dash!$J$26:$J$29,0)))*(Q16+R16),INDEX(Dash!$N$26:$N$29,MATCH($E16,Dash!$J$26:$J$29,0))),0)</f>
        <v>1396.8</v>
      </c>
      <c r="W16" s="62">
        <f>IFERROR(INDEX(Dash!$L$19:$L$23,MATCH($B16,Dash!$J$19:$J$23,0))*(Q16+R16)*(1+S16),0)</f>
        <v>22881.616343999995</v>
      </c>
      <c r="X16" s="61">
        <f>IFERROR(IF(AND(Dash!$B$8="Yes",Dash!$B$9&lt;=$A16),((Q16+R16)*INDEX(Dash!$M$8:$M$10,MATCH($D16,Dash!$J$8:$J$10,0)))*1.5,((Q16+R16)*INDEX(Dash!$M$8:$M$10,MATCH($D16,Dash!$J$8:$J$10,0)))),0)</f>
        <v>6984</v>
      </c>
      <c r="Y16" s="63">
        <f>_xlfn.IFNA(IF(AND(Q16&lt;&gt;0,MONTH(A16)=4),VLOOKUP(B16,Scales!$I$2:$K$5,3),IF(A16&lt;44927,VLOOKUP(B16,Scales!$I$2:$K$5,3)/12,0)),0)</f>
        <v>0</v>
      </c>
      <c r="Z16" s="61">
        <f t="shared" si="4"/>
        <v>984.04499999999996</v>
      </c>
      <c r="AA16" s="17">
        <f t="shared" si="10"/>
        <v>115000.22934399999</v>
      </c>
      <c r="AB16" s="152">
        <f t="shared" si="5"/>
        <v>21191.828420000005</v>
      </c>
      <c r="AC16" s="154">
        <f t="shared" si="11"/>
        <v>19930</v>
      </c>
    </row>
    <row r="17" spans="1:30" ht="15" thickBot="1" x14ac:dyDescent="0.35">
      <c r="A17" s="32">
        <v>45292</v>
      </c>
      <c r="B17" s="16" t="str">
        <f>_xlfn.IFNA(IF(VLOOKUP($A17,Dash!$B$16:$F$20,5,TRUE)=0,B16,VLOOKUP($A17,Dash!$B$16:$F$20,5,TRUE)),"")</f>
        <v>II</v>
      </c>
      <c r="C17" s="16" t="str">
        <f>_xlfn.IFNA(IF(VLOOKUP($A17,Dash!$B$16:$F$20,4,TRUE)=0,C16,VLOOKUP($A17,Dash!$B$16:$F$20,4,TRUE)),"")</f>
        <v>II</v>
      </c>
      <c r="D17" s="16" t="str">
        <f>_xlfn.IFNA(IF(VLOOKUP($A17,Dash!$B$16:$F$20,2,TRUE)=0,D16,VLOOKUP($A17,Dash!$B$16:$F$20,2,TRUE)),"")</f>
        <v>I</v>
      </c>
      <c r="E17" s="16" t="str">
        <f>_xlfn.IFNA(IF(VLOOKUP($A17,Dash!$B$16:$F$20,3,TRUE)=0,E16,VLOOKUP($A17,Dash!$B$16:$F$20,3,TRUE)),"")</f>
        <v>I</v>
      </c>
      <c r="F17" s="54">
        <f>IF(AND(A17=Dash!$B$20,Dash!$G$20&lt;&gt;0),Dash!$G$20,(IF(AND(A17=Dash!$B$19,Dash!$G$19&lt;&gt;0),Dash!$G$19,(IF(AND(A17=Dash!$B$18,Dash!$G$18&lt;&gt;0),Dash!$G$18,IF(AND(A17=Dash!$B$17,Dash!$G$17&lt;&gt;0),Dash!$G$17,IF($A17&lt;Dash!$B$16,0,IF($A17=Dash!$B$16,Dash!$G$16,IF(MONTH($A17)=MONTH(Dash!$B$6),F16+INDEX(Scales!$E:$E,MATCH(B17&amp;F16,Scales!$C:$C,0)),F16)))))))))</f>
        <v>49910</v>
      </c>
      <c r="G17" s="55">
        <v>0.48509999999999998</v>
      </c>
      <c r="H17" s="56">
        <f t="shared" si="6"/>
        <v>24211.341</v>
      </c>
      <c r="I17" s="56">
        <f>IFERROR(MIN(INDEX(Dash!$L$13:$L$15,MATCH($C17,Dash!$J$13:$J$15,0))*(F17),INDEX(Dash!$M$13:$M$15,MATCH($C17,Dash!$J$13:$J$15,0))),0)</f>
        <v>1150</v>
      </c>
      <c r="J17" s="57">
        <f>IFERROR(MIN((INDEX(Dash!$L$26:$L$29,MATCH($E17,Dash!$J$26:$J$29,0)))*(F17),INDEX(Dash!$M$26:$M$29,MATCH($E17,Dash!$J$26:$J$29,0))),0)</f>
        <v>998.2</v>
      </c>
      <c r="K17" s="57">
        <f>IFERROR(INDEX(Dash!$K$19:$K$23,MATCH($B17,Dash!$J$19:$J$23,0))*(F17)*(1+G17),0)</f>
        <v>12155.899924000001</v>
      </c>
      <c r="L17" s="56">
        <f>IFERROR(IF(AND(Dash!$B$8="Yes",Dash!$B$9&lt;=$A17),((F17)*1*INDEX(Dash!$L$8:$L$10,MATCH($D17,Dash!$J$8:$J$10,0)))*1.5,((F17)*1*INDEX(Dash!$L$8:$L$10,MATCH($D17,Dash!$J$8:$J$10,0)))),0)</f>
        <v>4491.8999999999996</v>
      </c>
      <c r="M17" s="56">
        <f>IF(AND(F17&lt;&gt;0,MONTH(A17)=4),VLOOKUP(B17,Scales!$I$2:$K$5,2),0)</f>
        <v>0</v>
      </c>
      <c r="N17" s="58">
        <f t="shared" si="7"/>
        <v>891.06000000000006</v>
      </c>
      <c r="O17" s="59">
        <f t="shared" si="8"/>
        <v>93808.400923999987</v>
      </c>
      <c r="P17" s="47"/>
      <c r="Q17" s="60">
        <f>IFERROR(INDEX(Scales!$D:$D,MATCH($B17&amp;$F17,Scales!$C:$C,0)),0)</f>
        <v>67160</v>
      </c>
      <c r="R17" s="61">
        <f>_xlfn.IFNA(IF(AND(Dash!$B$10&lt;&gt;"",Dash!$B$10&lt;=$A17),INDEX(Scales!F:F,MATCH($B17&amp;$F17,Scales!$C:$C,0)),0),0)</f>
        <v>2680</v>
      </c>
      <c r="S17" s="52">
        <v>0.15770000000000001</v>
      </c>
      <c r="T17" s="61">
        <f t="shared" si="9"/>
        <v>11013.768</v>
      </c>
      <c r="U17" s="61">
        <f>IFERROR(INDEX(Dash!$N$13:$N$15,MATCH($C17,Dash!$J$13:$J$15,0)),0)</f>
        <v>1900</v>
      </c>
      <c r="V17" s="62">
        <f>IFERROR(MIN((INDEX(Dash!$L$26:$L$29,MATCH($E17,Dash!$J$26:$J$29,0)))*(Q17+R17),INDEX(Dash!$N$26:$N$29,MATCH($E17,Dash!$J$26:$J$29,0))),0)</f>
        <v>1396.8</v>
      </c>
      <c r="W17" s="62">
        <f>IFERROR(INDEX(Dash!$L$19:$L$23,MATCH($B17,Dash!$J$19:$J$23,0))*(Q17+R17)*(1+S17),0)</f>
        <v>22881.616343999995</v>
      </c>
      <c r="X17" s="61">
        <f>IFERROR(IF(AND(Dash!$B$8="Yes",Dash!$B$9&lt;=$A17),((Q17+R17)*INDEX(Dash!$M$8:$M$10,MATCH($D17,Dash!$J$8:$J$10,0)))*1.5,((Q17+R17)*INDEX(Dash!$M$8:$M$10,MATCH($D17,Dash!$J$8:$J$10,0)))),0)</f>
        <v>6984</v>
      </c>
      <c r="Y17" s="63">
        <f>_xlfn.IFNA(IF(AND(Q17&lt;&gt;0,MONTH(A17)=4),VLOOKUP(B17,Scales!$I$2:$K$5,3),IF(A17&lt;44927,VLOOKUP(B17,Scales!$I$2:$K$5,3)/12,0)),0)</f>
        <v>0</v>
      </c>
      <c r="Z17" s="61">
        <f t="shared" si="4"/>
        <v>984.04499999999996</v>
      </c>
      <c r="AA17" s="17">
        <f t="shared" si="10"/>
        <v>115000.22934399999</v>
      </c>
      <c r="AB17" s="152">
        <f t="shared" si="5"/>
        <v>21191.828420000005</v>
      </c>
      <c r="AC17" s="154">
        <f t="shared" si="11"/>
        <v>19930</v>
      </c>
    </row>
    <row r="18" spans="1:30" ht="15" thickBot="1" x14ac:dyDescent="0.35">
      <c r="A18" s="33">
        <v>45323</v>
      </c>
      <c r="B18" s="16" t="str">
        <f>_xlfn.IFNA(IF(VLOOKUP($A18,Dash!$B$16:$F$20,5,TRUE)=0,B17,VLOOKUP($A18,Dash!$B$16:$F$20,5,TRUE)),"")</f>
        <v>II</v>
      </c>
      <c r="C18" s="16" t="str">
        <f>_xlfn.IFNA(IF(VLOOKUP($A18,Dash!$B$16:$F$20,4,TRUE)=0,C17,VLOOKUP($A18,Dash!$B$16:$F$20,4,TRUE)),"")</f>
        <v>II</v>
      </c>
      <c r="D18" s="16" t="str">
        <f>_xlfn.IFNA(IF(VLOOKUP($A18,Dash!$B$16:$F$20,2,TRUE)=0,D17,VLOOKUP($A18,Dash!$B$16:$F$20,2,TRUE)),"")</f>
        <v>I</v>
      </c>
      <c r="E18" s="16" t="str">
        <f>_xlfn.IFNA(IF(VLOOKUP($A18,Dash!$B$16:$F$20,3,TRUE)=0,E17,VLOOKUP($A18,Dash!$B$16:$F$20,3,TRUE)),"")</f>
        <v>I</v>
      </c>
      <c r="F18" s="54">
        <f>IF(AND(A18=Dash!$B$20,Dash!$G$20&lt;&gt;0),Dash!$G$20,(IF(AND(A18=Dash!$B$19,Dash!$G$19&lt;&gt;0),Dash!$G$19,(IF(AND(A18=Dash!$B$18,Dash!$G$18&lt;&gt;0),Dash!$G$18,IF(AND(A18=Dash!$B$17,Dash!$G$17&lt;&gt;0),Dash!$G$17,IF($A18&lt;Dash!$B$16,0,IF($A18=Dash!$B$16,Dash!$G$16,IF(MONTH($A18)=MONTH(Dash!$B$6),F17+INDEX(Scales!$E:$E,MATCH(B18&amp;F17,Scales!$C:$C,0)),F17)))))))))</f>
        <v>49910</v>
      </c>
      <c r="G18" s="55">
        <v>0.48509999999999998</v>
      </c>
      <c r="H18" s="56">
        <f t="shared" si="6"/>
        <v>24211.341</v>
      </c>
      <c r="I18" s="56">
        <f>IFERROR(MIN(INDEX(Dash!$L$13:$L$15,MATCH($C18,Dash!$J$13:$J$15,0))*(F18),INDEX(Dash!$M$13:$M$15,MATCH($C18,Dash!$J$13:$J$15,0))),0)</f>
        <v>1150</v>
      </c>
      <c r="J18" s="57">
        <f>IFERROR(MIN((INDEX(Dash!$L$26:$L$29,MATCH($E18,Dash!$J$26:$J$29,0)))*(F18),INDEX(Dash!$M$26:$M$29,MATCH($E18,Dash!$J$26:$J$29,0))),0)</f>
        <v>998.2</v>
      </c>
      <c r="K18" s="57">
        <f>IFERROR(INDEX(Dash!$K$19:$K$23,MATCH($B18,Dash!$J$19:$J$23,0))*(F18)*(1+G18),0)</f>
        <v>12155.899924000001</v>
      </c>
      <c r="L18" s="56">
        <f>IFERROR(IF(AND(Dash!$B$8="Yes",Dash!$B$9&lt;=$A18),((F18)*1*INDEX(Dash!$L$8:$L$10,MATCH($D18,Dash!$J$8:$J$10,0)))*1.5,((F18)*1*INDEX(Dash!$L$8:$L$10,MATCH($D18,Dash!$J$8:$J$10,0)))),0)</f>
        <v>4491.8999999999996</v>
      </c>
      <c r="M18" s="56">
        <f>IF(AND(F18&lt;&gt;0,MONTH(A18)=4),VLOOKUP(B18,Scales!$I$2:$K$5,2),0)</f>
        <v>0</v>
      </c>
      <c r="N18" s="58">
        <f t="shared" si="7"/>
        <v>891.06000000000006</v>
      </c>
      <c r="O18" s="59">
        <f t="shared" si="8"/>
        <v>93808.400923999987</v>
      </c>
      <c r="P18" s="47"/>
      <c r="Q18" s="60">
        <f>IFERROR(INDEX(Scales!$D:$D,MATCH($B18&amp;$F18,Scales!$C:$C,0)),0)</f>
        <v>67160</v>
      </c>
      <c r="R18" s="61">
        <f>_xlfn.IFNA(IF(AND(Dash!$B$10&lt;&gt;"",Dash!$B$10&lt;=$A18),INDEX(Scales!F:F,MATCH($B18&amp;$F18,Scales!$C:$C,0)),0),0)</f>
        <v>2680</v>
      </c>
      <c r="S18" s="53">
        <v>0.1573</v>
      </c>
      <c r="T18" s="61">
        <f t="shared" si="9"/>
        <v>10985.832</v>
      </c>
      <c r="U18" s="61">
        <f>IFERROR(INDEX(Dash!$N$13:$N$15,MATCH($C18,Dash!$J$13:$J$15,0)),0)</f>
        <v>1900</v>
      </c>
      <c r="V18" s="64">
        <f>IFERROR(MIN((INDEX(Dash!$L$26:$L$29,MATCH($E18,Dash!$J$26:$J$29,0)))*(Q18+R18),INDEX(Dash!$N$26:$N$29,MATCH($E18,Dash!$J$26:$J$29,0))),0)</f>
        <v>1396.8</v>
      </c>
      <c r="W18" s="64">
        <f>IFERROR(INDEX(Dash!$L$19:$L$23,MATCH($B18,Dash!$J$19:$J$23,0))*(Q18+R18)*(1+S18),0)</f>
        <v>22873.710455999997</v>
      </c>
      <c r="X18" s="61">
        <f>IFERROR(IF(AND(Dash!$B$8="Yes",Dash!$B$9&lt;=$A18),((Q18+R18)*INDEX(Dash!$M$8:$M$10,MATCH($D18,Dash!$J$8:$J$10,0)))*1.5,((Q18+R18)*INDEX(Dash!$M$8:$M$10,MATCH($D18,Dash!$J$8:$J$10,0)))),0)</f>
        <v>6984</v>
      </c>
      <c r="Y18" s="63">
        <f>_xlfn.IFNA(IF(AND(Q18&lt;&gt;0,MONTH(A18)=4),VLOOKUP(B18,Scales!$I$2:$K$5,3),IF(A18&lt;44927,VLOOKUP(B18,Scales!$I$2:$K$5,3)/12,0)),0)</f>
        <v>0</v>
      </c>
      <c r="Z18" s="61">
        <f t="shared" si="4"/>
        <v>983.70500000000004</v>
      </c>
      <c r="AA18" s="17">
        <f t="shared" si="10"/>
        <v>114964.047456</v>
      </c>
      <c r="AB18" s="152">
        <f t="shared" si="5"/>
        <v>21155.646532000013</v>
      </c>
      <c r="AC18" s="154">
        <f t="shared" si="11"/>
        <v>19930</v>
      </c>
      <c r="AD18" s="18"/>
    </row>
    <row r="19" spans="1:30" ht="15" thickBot="1" x14ac:dyDescent="0.35">
      <c r="A19" s="32">
        <v>45352</v>
      </c>
      <c r="B19" s="16" t="str">
        <f>_xlfn.IFNA(IF(VLOOKUP($A19,Dash!$B$16:$F$20,5,TRUE)=0,B18,VLOOKUP($A19,Dash!$B$16:$F$20,5,TRUE)),"")</f>
        <v>II</v>
      </c>
      <c r="C19" s="16" t="str">
        <f>_xlfn.IFNA(IF(VLOOKUP($A19,Dash!$B$16:$F$20,4,TRUE)=0,C18,VLOOKUP($A19,Dash!$B$16:$F$20,4,TRUE)),"")</f>
        <v>II</v>
      </c>
      <c r="D19" s="16" t="str">
        <f>_xlfn.IFNA(IF(VLOOKUP($A19,Dash!$B$16:$F$20,2,TRUE)=0,D18,VLOOKUP($A19,Dash!$B$16:$F$20,2,TRUE)),"")</f>
        <v>I</v>
      </c>
      <c r="E19" s="16" t="str">
        <f>_xlfn.IFNA(IF(VLOOKUP($A19,Dash!$B$16:$F$20,3,TRUE)=0,E18,VLOOKUP($A19,Dash!$B$16:$F$20,3,TRUE)),"")</f>
        <v>I</v>
      </c>
      <c r="F19" s="54">
        <f>IF(AND(A19=Dash!$B$20,Dash!$G$20&lt;&gt;0),Dash!$G$20,(IF(AND(A19=Dash!$B$19,Dash!$G$19&lt;&gt;0),Dash!$G$19,(IF(AND(A19=Dash!$B$18,Dash!$G$18&lt;&gt;0),Dash!$G$18,IF(AND(A19=Dash!$B$17,Dash!$G$17&lt;&gt;0),Dash!$G$17,IF($A19&lt;Dash!$B$16,0,IF($A19=Dash!$B$16,Dash!$G$16,IF(MONTH($A19)=MONTH(Dash!$B$6),F18+INDEX(Scales!$E:$E,MATCH(B19&amp;F18,Scales!$C:$C,0)),F18)))))))))</f>
        <v>51900</v>
      </c>
      <c r="G19" s="55">
        <v>0.48509999999999998</v>
      </c>
      <c r="H19" s="56">
        <f t="shared" si="6"/>
        <v>25176.69</v>
      </c>
      <c r="I19" s="56">
        <f>IFERROR(MIN(INDEX(Dash!$L$13:$L$15,MATCH($C19,Dash!$J$13:$J$15,0))*(F19),INDEX(Dash!$M$13:$M$15,MATCH($C19,Dash!$J$13:$J$15,0))),0)</f>
        <v>1150</v>
      </c>
      <c r="J19" s="57">
        <f>IFERROR(MIN((INDEX(Dash!$L$26:$L$29,MATCH($E19,Dash!$J$26:$J$29,0)))*(F19),INDEX(Dash!$M$26:$M$29,MATCH($E19,Dash!$J$26:$J$29,0))),0)</f>
        <v>1038</v>
      </c>
      <c r="K19" s="57">
        <f>IFERROR(INDEX(Dash!$K$19:$K$23,MATCH($B19,Dash!$J$19:$J$23,0))*(F19)*(1+G19),0)</f>
        <v>12640.577160000001</v>
      </c>
      <c r="L19" s="56">
        <f>IFERROR(IF(AND(Dash!$B$8="Yes",Dash!$B$9&lt;=$A19),((F19)*1*INDEX(Dash!$L$8:$L$10,MATCH($D19,Dash!$J$8:$J$10,0)))*1.5,((F19)*1*INDEX(Dash!$L$8:$L$10,MATCH($D19,Dash!$J$8:$J$10,0)))),0)</f>
        <v>4671</v>
      </c>
      <c r="M19" s="56">
        <f>IF(AND(F19&lt;&gt;0,MONTH(A19)=4),VLOOKUP(B19,Scales!$I$2:$K$5,2),0)</f>
        <v>0</v>
      </c>
      <c r="N19" s="58">
        <f t="shared" si="7"/>
        <v>891.06000000000006</v>
      </c>
      <c r="O19" s="59">
        <f t="shared" si="8"/>
        <v>97467.327160000001</v>
      </c>
      <c r="P19" s="48"/>
      <c r="Q19" s="60">
        <f>IFERROR(INDEX(Scales!$D:$D,MATCH($B19&amp;$F19,Scales!$C:$C,0)),0)</f>
        <v>69840</v>
      </c>
      <c r="R19" s="61">
        <f>_xlfn.IFNA(IF(AND(Dash!$B$10&lt;&gt;"",Dash!$B$10&lt;=$A19),INDEX(Scales!F:F,MATCH($B19&amp;$F19,Scales!$C:$C,0)),0),0)</f>
        <v>2680</v>
      </c>
      <c r="S19" s="53">
        <v>0.1573</v>
      </c>
      <c r="T19" s="61">
        <f t="shared" ref="T19" si="12">(Q19+R19)*S19</f>
        <v>11407.395999999999</v>
      </c>
      <c r="U19" s="61">
        <f>IFERROR(INDEX(Dash!$N$13:$N$15,MATCH($C19,Dash!$J$13:$J$15,0)),0)</f>
        <v>1900</v>
      </c>
      <c r="V19" s="64">
        <f>IFERROR(MIN((INDEX(Dash!$L$26:$L$29,MATCH($E19,Dash!$J$26:$J$29,0)))*(Q19+R19),INDEX(Dash!$N$26:$N$29,MATCH($E19,Dash!$J$26:$J$29,0))),0)</f>
        <v>1450</v>
      </c>
      <c r="W19" s="64">
        <f>IFERROR(INDEX(Dash!$L$19:$L$23,MATCH($B19,Dash!$J$19:$J$23,0))*(Q19+R19)*(1+S19),0)</f>
        <v>23751.453067999999</v>
      </c>
      <c r="X19" s="61">
        <f>IFERROR(IF(AND(Dash!$B$8="Yes",Dash!$B$9&lt;=$A19),((Q19+R19)*INDEX(Dash!$M$8:$M$10,MATCH($D19,Dash!$J$8:$J$10,0)))*1.5,((Q19+R19)*INDEX(Dash!$M$8:$M$10,MATCH($D19,Dash!$J$8:$J$10,0)))),0)</f>
        <v>7252</v>
      </c>
      <c r="Y19" s="63">
        <f>_xlfn.IFNA(IF(AND(Q19&lt;&gt;0,MONTH(A19)=4),VLOOKUP(B19,Scales!$I$2:$K$5,3),IF(A19&lt;44927,VLOOKUP(B19,Scales!$I$2:$K$5,3)/12,0)),0)</f>
        <v>0</v>
      </c>
      <c r="Z19" s="61">
        <f t="shared" si="4"/>
        <v>983.70500000000004</v>
      </c>
      <c r="AA19" s="17">
        <f t="shared" ref="AA19" si="13">Q19+R19+T19+U19+V19+W19+X19+Z19+Y19</f>
        <v>119264.554068</v>
      </c>
      <c r="AB19" s="152">
        <f t="shared" si="5"/>
        <v>21797.226907999997</v>
      </c>
      <c r="AC19" s="154">
        <f t="shared" ref="AC19:AC24" si="14">Q19+R19-F19</f>
        <v>20620</v>
      </c>
    </row>
    <row r="20" spans="1:30" ht="15" thickBot="1" x14ac:dyDescent="0.35">
      <c r="A20" s="33">
        <v>45383</v>
      </c>
      <c r="B20" s="16" t="str">
        <f>_xlfn.IFNA(IF(VLOOKUP($A20,Dash!$B$16:$F$20,5,TRUE)=0,B19,VLOOKUP($A20,Dash!$B$16:$F$20,5,TRUE)),"")</f>
        <v>II</v>
      </c>
      <c r="C20" s="16" t="str">
        <f>_xlfn.IFNA(IF(VLOOKUP($A20,Dash!$B$16:$F$20,4,TRUE)=0,C19,VLOOKUP($A20,Dash!$B$16:$F$20,4,TRUE)),"")</f>
        <v>II</v>
      </c>
      <c r="D20" s="16" t="str">
        <f>_xlfn.IFNA(IF(VLOOKUP($A20,Dash!$B$16:$F$20,2,TRUE)=0,D19,VLOOKUP($A20,Dash!$B$16:$F$20,2,TRUE)),"")</f>
        <v>I</v>
      </c>
      <c r="E20" s="16" t="str">
        <f>_xlfn.IFNA(IF(VLOOKUP($A20,Dash!$B$16:$F$20,3,TRUE)=0,E19,VLOOKUP($A20,Dash!$B$16:$F$20,3,TRUE)),"")</f>
        <v>I</v>
      </c>
      <c r="F20" s="54">
        <f>IF(AND(A20=Dash!$B$20,Dash!$G$20&lt;&gt;0),Dash!$G$20,(IF(AND(A20=Dash!$B$19,Dash!$G$19&lt;&gt;0),Dash!$G$19,(IF(AND(A20=Dash!$B$18,Dash!$G$18&lt;&gt;0),Dash!$G$18,IF(AND(A20=Dash!$B$17,Dash!$G$17&lt;&gt;0),Dash!$G$17,IF($A20&lt;Dash!$B$16,0,IF($A20=Dash!$B$16,Dash!$G$16,IF(MONTH($A20)=MONTH(Dash!$B$6),F19+INDEX(Scales!$E:$E,MATCH(B20&amp;F19,Scales!$C:$C,0)),F19)))))))))</f>
        <v>51900</v>
      </c>
      <c r="G20" s="55">
        <v>0.48509999999999998</v>
      </c>
      <c r="H20" s="56">
        <f t="shared" si="6"/>
        <v>25176.69</v>
      </c>
      <c r="I20" s="56">
        <f>IFERROR(MIN(INDEX(Dash!$L$13:$L$15,MATCH($C20,Dash!$J$13:$J$15,0))*(F20),INDEX(Dash!$M$13:$M$15,MATCH($C20,Dash!$J$13:$J$15,0))),0)</f>
        <v>1150</v>
      </c>
      <c r="J20" s="57">
        <f>IFERROR(MIN((INDEX(Dash!$L$26:$L$29,MATCH($E20,Dash!$J$26:$J$29,0)))*(F20),INDEX(Dash!$M$26:$M$29,MATCH($E20,Dash!$J$26:$J$29,0))),0)</f>
        <v>1038</v>
      </c>
      <c r="K20" s="57">
        <f>IFERROR(INDEX(Dash!$K$19:$K$23,MATCH($B20,Dash!$J$19:$J$23,0))*(F20)*(1+G20),0)</f>
        <v>12640.577160000001</v>
      </c>
      <c r="L20" s="56">
        <f>IFERROR(IF(AND(Dash!$B$8="Yes",Dash!$B$9&lt;=$A20),((F20)*1*INDEX(Dash!$L$8:$L$10,MATCH($D20,Dash!$J$8:$J$10,0)))*1.5,((F20)*1*INDEX(Dash!$L$8:$L$10,MATCH($D20,Dash!$J$8:$J$10,0)))),0)</f>
        <v>4671</v>
      </c>
      <c r="M20" s="56">
        <f>IF(AND(F20&lt;&gt;0,MONTH(A20)=4),VLOOKUP(B20,Scales!$I$2:$K$5,2),0)</f>
        <v>10300</v>
      </c>
      <c r="N20" s="58">
        <f t="shared" si="7"/>
        <v>891.06000000000006</v>
      </c>
      <c r="O20" s="59">
        <f t="shared" si="8"/>
        <v>107767.32716</v>
      </c>
      <c r="P20" s="48"/>
      <c r="Q20" s="60">
        <f>IFERROR(INDEX(Scales!$D:$D,MATCH($B20&amp;$F20,Scales!$C:$C,0)),0)</f>
        <v>69840</v>
      </c>
      <c r="R20" s="61">
        <f>_xlfn.IFNA(IF(AND(Dash!$B$10&lt;&gt;"",Dash!$B$10&lt;=$A20),INDEX(Scales!F:F,MATCH($B20&amp;$F20,Scales!$C:$C,0)),0),0)</f>
        <v>2680</v>
      </c>
      <c r="S20" s="53">
        <v>0.1573</v>
      </c>
      <c r="T20" s="61">
        <f t="shared" ref="T20:T22" si="15">(Q20+R20)*S20</f>
        <v>11407.395999999999</v>
      </c>
      <c r="U20" s="61">
        <f>IFERROR(INDEX(Dash!$N$13:$N$15,MATCH($C20,Dash!$J$13:$J$15,0)),0)</f>
        <v>1900</v>
      </c>
      <c r="V20" s="64">
        <f>IFERROR(MIN((INDEX(Dash!$L$26:$L$29,MATCH($E20,Dash!$J$26:$J$29,0)))*(Q20+R20),INDEX(Dash!$N$26:$N$29,MATCH($E20,Dash!$J$26:$J$29,0))),0)</f>
        <v>1450</v>
      </c>
      <c r="W20" s="64">
        <f>IFERROR(INDEX(Dash!$L$19:$L$23,MATCH($B20,Dash!$J$19:$J$23,0))*(Q20+R20)*(1+S20),0)</f>
        <v>23751.453067999999</v>
      </c>
      <c r="X20" s="61">
        <f>IFERROR(IF(AND(Dash!$B$8="Yes",Dash!$B$9&lt;=$A20),((Q20+R20)*INDEX(Dash!$M$8:$M$10,MATCH($D20,Dash!$J$8:$J$10,0)))*1.5,((Q20+R20)*INDEX(Dash!$M$8:$M$10,MATCH($D20,Dash!$J$8:$J$10,0)))),0)</f>
        <v>7252</v>
      </c>
      <c r="Y20" s="63">
        <f>_xlfn.IFNA(IF(AND(Q20&lt;&gt;0,MONTH(A20)=4),VLOOKUP(B20,Scales!$I$2:$K$5,3),IF(A20&lt;44927,VLOOKUP(B20,Scales!$I$2:$K$5,3)/12,0)),0)</f>
        <v>13000</v>
      </c>
      <c r="Z20" s="61">
        <f t="shared" ref="Z20:Z22" si="16">IF(Q20&gt;0,850*(1+S20),0)</f>
        <v>983.70500000000004</v>
      </c>
      <c r="AA20" s="17">
        <f t="shared" ref="AA20:AA22" si="17">Q20+R20+T20+U20+V20+W20+X20+Z20+Y20</f>
        <v>132264.554068</v>
      </c>
      <c r="AB20" s="152">
        <f t="shared" ref="AB20:AB22" si="18">AA20-O20</f>
        <v>24497.226907999997</v>
      </c>
      <c r="AC20" s="154">
        <f t="shared" si="14"/>
        <v>20620</v>
      </c>
    </row>
    <row r="21" spans="1:30" ht="15" thickBot="1" x14ac:dyDescent="0.35">
      <c r="A21" s="32">
        <v>45413</v>
      </c>
      <c r="B21" s="16" t="str">
        <f>_xlfn.IFNA(IF(VLOOKUP($A21,Dash!$B$16:$F$20,5,TRUE)=0,B20,VLOOKUP($A21,Dash!$B$16:$F$20,5,TRUE)),"")</f>
        <v>II</v>
      </c>
      <c r="C21" s="16" t="str">
        <f>_xlfn.IFNA(IF(VLOOKUP($A21,Dash!$B$16:$F$20,4,TRUE)=0,C20,VLOOKUP($A21,Dash!$B$16:$F$20,4,TRUE)),"")</f>
        <v>II</v>
      </c>
      <c r="D21" s="16" t="str">
        <f>_xlfn.IFNA(IF(VLOOKUP($A21,Dash!$B$16:$F$20,2,TRUE)=0,D20,VLOOKUP($A21,Dash!$B$16:$F$20,2,TRUE)),"")</f>
        <v>I</v>
      </c>
      <c r="E21" s="16" t="str">
        <f>_xlfn.IFNA(IF(VLOOKUP($A21,Dash!$B$16:$F$20,3,TRUE)=0,E20,VLOOKUP($A21,Dash!$B$16:$F$20,3,TRUE)),"")</f>
        <v>I</v>
      </c>
      <c r="F21" s="54">
        <f>IF(AND(A21=Dash!$B$20,Dash!$G$20&lt;&gt;0),Dash!$G$20,(IF(AND(A21=Dash!$B$19,Dash!$G$19&lt;&gt;0),Dash!$G$19,(IF(AND(A21=Dash!$B$18,Dash!$G$18&lt;&gt;0),Dash!$G$18,IF(AND(A21=Dash!$B$17,Dash!$G$17&lt;&gt;0),Dash!$G$17,IF($A21&lt;Dash!$B$16,0,IF($A21=Dash!$B$16,Dash!$G$16,IF(MONTH($A21)=MONTH(Dash!$B$6),F20+INDEX(Scales!$E:$E,MATCH(B21&amp;F20,Scales!$C:$C,0)),F20)))))))))</f>
        <v>51900</v>
      </c>
      <c r="G21" s="55">
        <v>0.48509999999999998</v>
      </c>
      <c r="H21" s="56">
        <f t="shared" si="6"/>
        <v>25176.69</v>
      </c>
      <c r="I21" s="56">
        <f>IFERROR(MIN(INDEX(Dash!$L$13:$L$15,MATCH($C21,Dash!$J$13:$J$15,0))*(F21),INDEX(Dash!$M$13:$M$15,MATCH($C21,Dash!$J$13:$J$15,0))),0)</f>
        <v>1150</v>
      </c>
      <c r="J21" s="57">
        <f>IFERROR(MIN((INDEX(Dash!$L$26:$L$29,MATCH($E21,Dash!$J$26:$J$29,0)))*(F21),INDEX(Dash!$M$26:$M$29,MATCH($E21,Dash!$J$26:$J$29,0))),0)</f>
        <v>1038</v>
      </c>
      <c r="K21" s="57">
        <f>IFERROR(INDEX(Dash!$K$19:$K$23,MATCH($B21,Dash!$J$19:$J$23,0))*(F21)*(1+G21),0)</f>
        <v>12640.577160000001</v>
      </c>
      <c r="L21" s="56">
        <f>IFERROR(IF(AND(Dash!$B$8="Yes",Dash!$B$9&lt;=$A21),((F21)*1*INDEX(Dash!$L$8:$L$10,MATCH($D21,Dash!$J$8:$J$10,0)))*1.5,((F21)*1*INDEX(Dash!$L$8:$L$10,MATCH($D21,Dash!$J$8:$J$10,0)))),0)</f>
        <v>4671</v>
      </c>
      <c r="M21" s="56">
        <f>IF(AND(F21&lt;&gt;0,MONTH(A21)=4),VLOOKUP(B21,Scales!$I$2:$K$5,2),0)</f>
        <v>0</v>
      </c>
      <c r="N21" s="58">
        <f t="shared" si="7"/>
        <v>891.06000000000006</v>
      </c>
      <c r="O21" s="59">
        <f t="shared" si="8"/>
        <v>97467.327160000001</v>
      </c>
      <c r="P21" s="48"/>
      <c r="Q21" s="60">
        <f>IFERROR(INDEX(Scales!$D:$D,MATCH($B21&amp;$F21,Scales!$C:$C,0)),0)</f>
        <v>69840</v>
      </c>
      <c r="R21" s="61">
        <f>_xlfn.IFNA(IF(AND(Dash!$B$10&lt;&gt;"",Dash!$B$10&lt;=$A21),INDEX(Scales!F:F,MATCH($B21&amp;$F21,Scales!$C:$C,0)),0),0)</f>
        <v>2680</v>
      </c>
      <c r="S21" s="53">
        <v>0.15970000000000001</v>
      </c>
      <c r="T21" s="61">
        <f t="shared" si="15"/>
        <v>11581.444000000001</v>
      </c>
      <c r="U21" s="61">
        <f>IFERROR(INDEX(Dash!$N$13:$N$15,MATCH($C21,Dash!$J$13:$J$15,0)),0)</f>
        <v>1900</v>
      </c>
      <c r="V21" s="64">
        <f>IFERROR(MIN((INDEX(Dash!$L$26:$L$29,MATCH($E21,Dash!$J$26:$J$29,0)))*(Q21+R21),INDEX(Dash!$N$26:$N$29,MATCH($E21,Dash!$J$26:$J$29,0))),0)</f>
        <v>1450</v>
      </c>
      <c r="W21" s="64">
        <f>IFERROR(INDEX(Dash!$L$19:$L$23,MATCH($B21,Dash!$J$19:$J$23,0))*(Q21+R21)*(1+S21),0)</f>
        <v>23800.708651999998</v>
      </c>
      <c r="X21" s="61">
        <f>IFERROR(IF(AND(Dash!$B$8="Yes",Dash!$B$9&lt;=$A21),((Q21+R21)*INDEX(Dash!$M$8:$M$10,MATCH($D21,Dash!$J$8:$J$10,0)))*1.5,((Q21+R21)*INDEX(Dash!$M$8:$M$10,MATCH($D21,Dash!$J$8:$J$10,0)))),0)</f>
        <v>7252</v>
      </c>
      <c r="Y21" s="63">
        <f>_xlfn.IFNA(IF(AND(Q21&lt;&gt;0,MONTH(A21)=4),VLOOKUP(B21,Scales!$I$2:$K$5,3),IF(A21&lt;44927,VLOOKUP(B21,Scales!$I$2:$K$5,3)/12,0)),0)</f>
        <v>0</v>
      </c>
      <c r="Z21" s="61">
        <f t="shared" si="16"/>
        <v>985.745</v>
      </c>
      <c r="AA21" s="17">
        <f t="shared" si="17"/>
        <v>119489.897652</v>
      </c>
      <c r="AB21" s="152">
        <f t="shared" si="18"/>
        <v>22022.570491999999</v>
      </c>
      <c r="AC21" s="154">
        <f t="shared" si="14"/>
        <v>20620</v>
      </c>
    </row>
    <row r="22" spans="1:30" ht="15" thickBot="1" x14ac:dyDescent="0.35">
      <c r="A22" s="33">
        <v>45444</v>
      </c>
      <c r="B22" s="16" t="str">
        <f>_xlfn.IFNA(IF(VLOOKUP($A22,Dash!$B$16:$F$20,5,TRUE)=0,B21,VLOOKUP($A22,Dash!$B$16:$F$20,5,TRUE)),"")</f>
        <v>II</v>
      </c>
      <c r="C22" s="16" t="str">
        <f>_xlfn.IFNA(IF(VLOOKUP($A22,Dash!$B$16:$F$20,4,TRUE)=0,C21,VLOOKUP($A22,Dash!$B$16:$F$20,4,TRUE)),"")</f>
        <v>II</v>
      </c>
      <c r="D22" s="16" t="str">
        <f>_xlfn.IFNA(IF(VLOOKUP($A22,Dash!$B$16:$F$20,2,TRUE)=0,D21,VLOOKUP($A22,Dash!$B$16:$F$20,2,TRUE)),"")</f>
        <v>I</v>
      </c>
      <c r="E22" s="16" t="str">
        <f>_xlfn.IFNA(IF(VLOOKUP($A22,Dash!$B$16:$F$20,3,TRUE)=0,E21,VLOOKUP($A22,Dash!$B$16:$F$20,3,TRUE)),"")</f>
        <v>I</v>
      </c>
      <c r="F22" s="54">
        <f>IF(AND(A22=Dash!$B$20,Dash!$G$20&lt;&gt;0),Dash!$G$20,(IF(AND(A22=Dash!$B$19,Dash!$G$19&lt;&gt;0),Dash!$G$19,(IF(AND(A22=Dash!$B$18,Dash!$G$18&lt;&gt;0),Dash!$G$18,IF(AND(A22=Dash!$B$17,Dash!$G$17&lt;&gt;0),Dash!$G$17,IF($A22&lt;Dash!$B$16,0,IF($A22=Dash!$B$16,Dash!$G$16,IF(MONTH($A22)=MONTH(Dash!$B$6),F21+INDEX(Scales!$E:$E,MATCH(B22&amp;F21,Scales!$C:$C,0)),F21)))))))))</f>
        <v>51900</v>
      </c>
      <c r="G22" s="55">
        <v>0.48509999999999998</v>
      </c>
      <c r="H22" s="56">
        <f t="shared" si="6"/>
        <v>25176.69</v>
      </c>
      <c r="I22" s="56">
        <f>IFERROR(MIN(INDEX(Dash!$L$13:$L$15,MATCH($C22,Dash!$J$13:$J$15,0))*(F22),INDEX(Dash!$M$13:$M$15,MATCH($C22,Dash!$J$13:$J$15,0))),0)</f>
        <v>1150</v>
      </c>
      <c r="J22" s="57">
        <f>IFERROR(MIN((INDEX(Dash!$L$26:$L$29,MATCH($E22,Dash!$J$26:$J$29,0)))*(F22),INDEX(Dash!$M$26:$M$29,MATCH($E22,Dash!$J$26:$J$29,0))),0)</f>
        <v>1038</v>
      </c>
      <c r="K22" s="57">
        <f>IFERROR(INDEX(Dash!$K$19:$K$23,MATCH($B22,Dash!$J$19:$J$23,0))*(F22)*(1+G22),0)</f>
        <v>12640.577160000001</v>
      </c>
      <c r="L22" s="56">
        <f>IFERROR(IF(AND(Dash!$B$8="Yes",Dash!$B$9&lt;=$A22),((F22)*1*INDEX(Dash!$L$8:$L$10,MATCH($D22,Dash!$J$8:$J$10,0)))*1.5,((F22)*1*INDEX(Dash!$L$8:$L$10,MATCH($D22,Dash!$J$8:$J$10,0)))),0)</f>
        <v>4671</v>
      </c>
      <c r="M22" s="56">
        <f>IF(AND(F22&lt;&gt;0,MONTH(A22)=4),VLOOKUP(B22,Scales!$I$2:$K$5,2),0)</f>
        <v>0</v>
      </c>
      <c r="N22" s="58">
        <f t="shared" si="7"/>
        <v>891.06000000000006</v>
      </c>
      <c r="O22" s="59">
        <f t="shared" si="8"/>
        <v>97467.327160000001</v>
      </c>
      <c r="P22" s="48"/>
      <c r="Q22" s="60">
        <f>IFERROR(INDEX(Scales!$D:$D,MATCH($B22&amp;$F22,Scales!$C:$C,0)),0)</f>
        <v>69840</v>
      </c>
      <c r="R22" s="61">
        <f>_xlfn.IFNA(IF(AND(Dash!$B$10&lt;&gt;"",Dash!$B$10&lt;=$A22),INDEX(Scales!F:F,MATCH($B22&amp;$F22,Scales!$C:$C,0)),0),0)</f>
        <v>2680</v>
      </c>
      <c r="S22" s="53">
        <v>0.15970000000000001</v>
      </c>
      <c r="T22" s="61">
        <f t="shared" si="15"/>
        <v>11581.444000000001</v>
      </c>
      <c r="U22" s="61">
        <f>IFERROR(INDEX(Dash!$N$13:$N$15,MATCH($C22,Dash!$J$13:$J$15,0)),0)</f>
        <v>1900</v>
      </c>
      <c r="V22" s="64">
        <f>IFERROR(MIN((INDEX(Dash!$L$26:$L$29,MATCH($E22,Dash!$J$26:$J$29,0)))*(Q22+R22),INDEX(Dash!$N$26:$N$29,MATCH($E22,Dash!$J$26:$J$29,0))),0)</f>
        <v>1450</v>
      </c>
      <c r="W22" s="64">
        <f>IFERROR(INDEX(Dash!$L$19:$L$23,MATCH($B22,Dash!$J$19:$J$23,0))*(Q22+R22)*(1+S22),0)</f>
        <v>23800.708651999998</v>
      </c>
      <c r="X22" s="61">
        <f>IFERROR(IF(AND(Dash!$B$8="Yes",Dash!$B$9&lt;=$A22),((Q22+R22)*INDEX(Dash!$M$8:$M$10,MATCH($D22,Dash!$J$8:$J$10,0)))*1.5,((Q22+R22)*INDEX(Dash!$M$8:$M$10,MATCH($D22,Dash!$J$8:$J$10,0)))),0)</f>
        <v>7252</v>
      </c>
      <c r="Y22" s="63">
        <f>_xlfn.IFNA(IF(AND(Q22&lt;&gt;0,MONTH(A22)=4),VLOOKUP(B22,Scales!$I$2:$K$5,3),IF(A22&lt;44927,VLOOKUP(B22,Scales!$I$2:$K$5,3)/12,0)),0)</f>
        <v>0</v>
      </c>
      <c r="Z22" s="61">
        <f t="shared" si="16"/>
        <v>985.745</v>
      </c>
      <c r="AA22" s="17">
        <f t="shared" si="17"/>
        <v>119489.897652</v>
      </c>
      <c r="AB22" s="152">
        <f t="shared" si="18"/>
        <v>22022.570491999999</v>
      </c>
      <c r="AC22" s="154">
        <f t="shared" si="14"/>
        <v>20620</v>
      </c>
    </row>
    <row r="23" spans="1:30" ht="15" thickBot="1" x14ac:dyDescent="0.35">
      <c r="A23" s="32">
        <v>45474</v>
      </c>
      <c r="B23" s="16" t="str">
        <f>_xlfn.IFNA(IF(VLOOKUP($A23,Dash!$B$16:$F$20,5,TRUE)=0,B22,VLOOKUP($A23,Dash!$B$16:$F$20,5,TRUE)),"")</f>
        <v>II</v>
      </c>
      <c r="C23" s="16" t="str">
        <f>_xlfn.IFNA(IF(VLOOKUP($A23,Dash!$B$16:$F$20,4,TRUE)=0,C22,VLOOKUP($A23,Dash!$B$16:$F$20,4,TRUE)),"")</f>
        <v>II</v>
      </c>
      <c r="D23" s="16" t="str">
        <f>_xlfn.IFNA(IF(VLOOKUP($A23,Dash!$B$16:$F$20,2,TRUE)=0,D22,VLOOKUP($A23,Dash!$B$16:$F$20,2,TRUE)),"")</f>
        <v>I</v>
      </c>
      <c r="E23" s="16" t="str">
        <f>_xlfn.IFNA(IF(VLOOKUP($A23,Dash!$B$16:$F$20,3,TRUE)=0,E22,VLOOKUP($A23,Dash!$B$16:$F$20,3,TRUE)),"")</f>
        <v>I</v>
      </c>
      <c r="F23" s="54">
        <f>IF(AND(A23=Dash!$B$20,Dash!$G$20&lt;&gt;0),Dash!$G$20,(IF(AND(A23=Dash!$B$19,Dash!$G$19&lt;&gt;0),Dash!$G$19,(IF(AND(A23=Dash!$B$18,Dash!$G$18&lt;&gt;0),Dash!$G$18,IF(AND(A23=Dash!$B$17,Dash!$G$17&lt;&gt;0),Dash!$G$17,IF($A23&lt;Dash!$B$16,0,IF($A23=Dash!$B$16,Dash!$G$16,IF(MONTH($A23)=MONTH(Dash!$B$6),F22+INDEX(Scales!$E:$E,MATCH(B23&amp;F22,Scales!$C:$C,0)),F22)))))))))</f>
        <v>51900</v>
      </c>
      <c r="G23" s="55">
        <v>0.48509999999999998</v>
      </c>
      <c r="H23" s="56">
        <f t="shared" si="6"/>
        <v>25176.69</v>
      </c>
      <c r="I23" s="56">
        <f>IFERROR(MIN(INDEX(Dash!$L$13:$L$15,MATCH($C23,Dash!$J$13:$J$15,0))*(F23),INDEX(Dash!$M$13:$M$15,MATCH($C23,Dash!$J$13:$J$15,0))),0)</f>
        <v>1150</v>
      </c>
      <c r="J23" s="57">
        <f>IFERROR(MIN((INDEX(Dash!$L$26:$L$29,MATCH($E23,Dash!$J$26:$J$29,0)))*(F23),INDEX(Dash!$M$26:$M$29,MATCH($E23,Dash!$J$26:$J$29,0))),0)</f>
        <v>1038</v>
      </c>
      <c r="K23" s="57">
        <f>IFERROR(INDEX(Dash!$K$19:$K$23,MATCH($B23,Dash!$J$19:$J$23,0))*(F23)*(1+G23),0)</f>
        <v>12640.577160000001</v>
      </c>
      <c r="L23" s="56">
        <f>IFERROR(IF(AND(Dash!$B$8="Yes",Dash!$B$9&lt;=$A23),((F23)*1*INDEX(Dash!$L$8:$L$10,MATCH($D23,Dash!$J$8:$J$10,0)))*1.5,((F23)*1*INDEX(Dash!$L$8:$L$10,MATCH($D23,Dash!$J$8:$J$10,0)))),0)</f>
        <v>4671</v>
      </c>
      <c r="M23" s="56">
        <f>IF(AND(F23&lt;&gt;0,MONTH(A23)=4),VLOOKUP(B23,Scales!$I$2:$K$5,2),0)</f>
        <v>0</v>
      </c>
      <c r="N23" s="58">
        <f t="shared" si="7"/>
        <v>891.06000000000006</v>
      </c>
      <c r="O23" s="59">
        <f t="shared" si="8"/>
        <v>97467.327160000001</v>
      </c>
      <c r="P23" s="48"/>
      <c r="Q23" s="60">
        <f>IFERROR(INDEX(Scales!$D:$D,MATCH($B23&amp;$F23,Scales!$C:$C,0)),0)</f>
        <v>69840</v>
      </c>
      <c r="R23" s="61">
        <f>_xlfn.IFNA(IF(AND(Dash!$B$10&lt;&gt;"",Dash!$B$10&lt;=$A23),INDEX(Scales!F:F,MATCH($B23&amp;$F23,Scales!$C:$C,0)),0),0)</f>
        <v>2680</v>
      </c>
      <c r="S23" s="53">
        <v>0.15970000000000001</v>
      </c>
      <c r="T23" s="61">
        <f t="shared" ref="T23:T24" si="19">(Q23+R23)*S23</f>
        <v>11581.444000000001</v>
      </c>
      <c r="U23" s="61">
        <f>IFERROR(INDEX(Dash!$N$13:$N$15,MATCH($C23,Dash!$J$13:$J$15,0)),0)</f>
        <v>1900</v>
      </c>
      <c r="V23" s="64">
        <f>IFERROR(MIN((INDEX(Dash!$L$26:$L$29,MATCH($E23,Dash!$J$26:$J$29,0)))*(Q23+R23),INDEX(Dash!$N$26:$N$29,MATCH($E23,Dash!$J$26:$J$29,0))),0)</f>
        <v>1450</v>
      </c>
      <c r="W23" s="64">
        <f>IFERROR(INDEX(Dash!$L$19:$L$23,MATCH($B23,Dash!$J$19:$J$23,0))*(Q23+R23)*(1+S23),0)</f>
        <v>23800.708651999998</v>
      </c>
      <c r="X23" s="61">
        <f>IFERROR(IF(AND(Dash!$B$8="Yes",Dash!$B$9&lt;=$A23),((Q23+R23)*INDEX(Dash!$M$8:$M$10,MATCH($D23,Dash!$J$8:$J$10,0)))*1.5,((Q23+R23)*INDEX(Dash!$M$8:$M$10,MATCH($D23,Dash!$J$8:$J$10,0)))),0)</f>
        <v>7252</v>
      </c>
      <c r="Y23" s="63">
        <f>_xlfn.IFNA(IF(AND(Q23&lt;&gt;0,MONTH(A23)=4),VLOOKUP(B23,Scales!$I$2:$K$5,3),IF(A23&lt;44927,VLOOKUP(B23,Scales!$I$2:$K$5,3)/12,0)),0)</f>
        <v>0</v>
      </c>
      <c r="Z23" s="61">
        <f t="shared" ref="Z23:Z24" si="20">IF(Q23&gt;0,850*(1+S23),0)</f>
        <v>985.745</v>
      </c>
      <c r="AA23" s="17">
        <f t="shared" ref="AA23:AA24" si="21">Q23+R23+T23+U23+V23+W23+X23+Z23+Y23</f>
        <v>119489.897652</v>
      </c>
      <c r="AB23" s="152">
        <f t="shared" ref="AB23:AB24" si="22">AA23-O23</f>
        <v>22022.570491999999</v>
      </c>
      <c r="AC23" s="154">
        <f t="shared" si="14"/>
        <v>20620</v>
      </c>
    </row>
    <row r="24" spans="1:30" ht="15" thickBot="1" x14ac:dyDescent="0.35">
      <c r="A24" s="33">
        <v>45505</v>
      </c>
      <c r="B24" s="16" t="str">
        <f>_xlfn.IFNA(IF(VLOOKUP($A24,Dash!$B$16:$F$20,5,TRUE)=0,B23,VLOOKUP($A24,Dash!$B$16:$F$20,5,TRUE)),"")</f>
        <v>II</v>
      </c>
      <c r="C24" s="16" t="str">
        <f>_xlfn.IFNA(IF(VLOOKUP($A24,Dash!$B$16:$F$20,4,TRUE)=0,C23,VLOOKUP($A24,Dash!$B$16:$F$20,4,TRUE)),"")</f>
        <v>II</v>
      </c>
      <c r="D24" s="16" t="str">
        <f>_xlfn.IFNA(IF(VLOOKUP($A24,Dash!$B$16:$F$20,2,TRUE)=0,D23,VLOOKUP($A24,Dash!$B$16:$F$20,2,TRUE)),"")</f>
        <v>I</v>
      </c>
      <c r="E24" s="16" t="str">
        <f>_xlfn.IFNA(IF(VLOOKUP($A24,Dash!$B$16:$F$20,3,TRUE)=0,E23,VLOOKUP($A24,Dash!$B$16:$F$20,3,TRUE)),"")</f>
        <v>I</v>
      </c>
      <c r="F24" s="54">
        <f>IF(AND(A24=Dash!$B$20,Dash!$G$20&lt;&gt;0),Dash!$G$20,(IF(AND(A24=Dash!$B$19,Dash!$G$19&lt;&gt;0),Dash!$G$19,(IF(AND(A24=Dash!$B$18,Dash!$G$18&lt;&gt;0),Dash!$G$18,IF(AND(A24=Dash!$B$17,Dash!$G$17&lt;&gt;0),Dash!$G$17,IF($A24&lt;Dash!$B$16,0,IF($A24=Dash!$B$16,Dash!$G$16,IF(MONTH($A24)=MONTH(Dash!$B$6),F23+INDEX(Scales!$E:$E,MATCH(B24&amp;F23,Scales!$C:$C,0)),F23)))))))))</f>
        <v>51900</v>
      </c>
      <c r="G24" s="55">
        <v>0.48509999999999998</v>
      </c>
      <c r="H24" s="56">
        <f t="shared" si="6"/>
        <v>25176.69</v>
      </c>
      <c r="I24" s="56">
        <f>IFERROR(MIN(INDEX(Dash!$L$13:$L$15,MATCH($C24,Dash!$J$13:$J$15,0))*(F24),INDEX(Dash!$M$13:$M$15,MATCH($C24,Dash!$J$13:$J$15,0))),0)</f>
        <v>1150</v>
      </c>
      <c r="J24" s="57">
        <f>IFERROR(MIN((INDEX(Dash!$L$26:$L$29,MATCH($E24,Dash!$J$26:$J$29,0)))*(F24),INDEX(Dash!$M$26:$M$29,MATCH($E24,Dash!$J$26:$J$29,0))),0)</f>
        <v>1038</v>
      </c>
      <c r="K24" s="57">
        <f>IFERROR(INDEX(Dash!$K$19:$K$23,MATCH($B24,Dash!$J$19:$J$23,0))*(F24)*(1+G24),0)</f>
        <v>12640.577160000001</v>
      </c>
      <c r="L24" s="56">
        <f>IFERROR(IF(AND(Dash!$B$8="Yes",Dash!$B$9&lt;=$A24),((F24)*1*INDEX(Dash!$L$8:$L$10,MATCH($D24,Dash!$J$8:$J$10,0)))*1.5,((F24)*1*INDEX(Dash!$L$8:$L$10,MATCH($D24,Dash!$J$8:$J$10,0)))),0)</f>
        <v>4671</v>
      </c>
      <c r="M24" s="56">
        <f>IF(AND(F24&lt;&gt;0,MONTH(A24)=4),VLOOKUP(B24,Scales!$I$2:$K$5,2),0)</f>
        <v>0</v>
      </c>
      <c r="N24" s="58">
        <f t="shared" si="7"/>
        <v>891.06000000000006</v>
      </c>
      <c r="O24" s="59">
        <f t="shared" si="8"/>
        <v>97467.327160000001</v>
      </c>
      <c r="P24" s="48"/>
      <c r="Q24" s="60">
        <f>IFERROR(INDEX(Scales!$D:$D,MATCH($B24&amp;$F24,Scales!$C:$C,0)),0)</f>
        <v>69840</v>
      </c>
      <c r="R24" s="61">
        <f>_xlfn.IFNA(IF(AND(Dash!$B$10&lt;&gt;"",Dash!$B$10&lt;=$A24),INDEX(Scales!F:F,MATCH($B24&amp;$F24,Scales!$C:$C,0)),0),0)</f>
        <v>2680</v>
      </c>
      <c r="S24" s="53">
        <v>0.17199999999999999</v>
      </c>
      <c r="T24" s="61">
        <f t="shared" si="19"/>
        <v>12473.439999999999</v>
      </c>
      <c r="U24" s="61">
        <f>IFERROR(INDEX(Dash!$N$13:$N$15,MATCH($C24,Dash!$J$13:$J$15,0)),0)</f>
        <v>1900</v>
      </c>
      <c r="V24" s="64">
        <f>IFERROR(MIN((INDEX(Dash!$L$26:$L$29,MATCH($E24,Dash!$J$26:$J$29,0)))*(Q24+R24),INDEX(Dash!$N$26:$N$29,MATCH($E24,Dash!$J$26:$J$29,0))),0)</f>
        <v>1450</v>
      </c>
      <c r="W24" s="64">
        <f>IFERROR(INDEX(Dash!$L$19:$L$23,MATCH($B24,Dash!$J$19:$J$23,0))*(Q24+R24)*(1+S24),0)</f>
        <v>24053.143519999998</v>
      </c>
      <c r="X24" s="61">
        <f>IFERROR(IF(AND(Dash!$B$8="Yes",Dash!$B$9&lt;=$A24),((Q24+R24)*INDEX(Dash!$M$8:$M$10,MATCH($D24,Dash!$J$8:$J$10,0)))*1.5,((Q24+R24)*INDEX(Dash!$M$8:$M$10,MATCH($D24,Dash!$J$8:$J$10,0)))),0)</f>
        <v>7252</v>
      </c>
      <c r="Y24" s="150">
        <f>_xlfn.IFNA(IF(AND(Q24&lt;&gt;0,MONTH(A24)=4),VLOOKUP(B24,Scales!$I$2:$K$5,3),IF(A24&lt;44927,VLOOKUP(B24,Scales!$I$2:$K$5,3)/12,0)),0)</f>
        <v>0</v>
      </c>
      <c r="Z24" s="151">
        <f t="shared" si="20"/>
        <v>996.19999999999993</v>
      </c>
      <c r="AA24" s="17">
        <f t="shared" si="21"/>
        <v>120644.78352</v>
      </c>
      <c r="AB24" s="152">
        <f t="shared" si="22"/>
        <v>23177.456359999996</v>
      </c>
      <c r="AC24" s="154">
        <f t="shared" si="14"/>
        <v>20620</v>
      </c>
    </row>
    <row r="25" spans="1:30" ht="15" thickBot="1" x14ac:dyDescent="0.35">
      <c r="A25" s="33">
        <v>45536</v>
      </c>
      <c r="B25" s="16" t="str">
        <f>_xlfn.IFNA(IF(VLOOKUP($A25,Dash!$B$16:$F$20,5,TRUE)=0,B24,VLOOKUP($A25,Dash!$B$16:$F$20,5,TRUE)),"")</f>
        <v>II</v>
      </c>
      <c r="C25" s="16" t="str">
        <f>_xlfn.IFNA(IF(VLOOKUP($A25,Dash!$B$16:$F$20,4,TRUE)=0,C24,VLOOKUP($A25,Dash!$B$16:$F$20,4,TRUE)),"")</f>
        <v>II</v>
      </c>
      <c r="D25" s="16" t="str">
        <f>_xlfn.IFNA(IF(VLOOKUP($A25,Dash!$B$16:$F$20,2,TRUE)=0,D24,VLOOKUP($A25,Dash!$B$16:$F$20,2,TRUE)),"")</f>
        <v>I</v>
      </c>
      <c r="E25" s="16" t="str">
        <f>_xlfn.IFNA(IF(VLOOKUP($A25,Dash!$B$16:$F$20,3,TRUE)=0,E24,VLOOKUP($A25,Dash!$B$16:$F$20,3,TRUE)),"")</f>
        <v>I</v>
      </c>
      <c r="F25" s="54">
        <f>IF(AND(A25=Dash!$B$20,Dash!$G$20&lt;&gt;0),Dash!$G$20,(IF(AND(A25=Dash!$B$19,Dash!$G$19&lt;&gt;0),Dash!$G$19,(IF(AND(A25=Dash!$B$18,Dash!$G$18&lt;&gt;0),Dash!$G$18,IF(AND(A25=Dash!$B$17,Dash!$G$17&lt;&gt;0),Dash!$G$17,IF($A25&lt;Dash!$B$16,0,IF($A25=Dash!$B$16,Dash!$G$16,IF(MONTH($A25)=MONTH(Dash!$B$6),F24+INDEX(Scales!$E:$E,MATCH(B25&amp;F24,Scales!$C:$C,0)),F24)))))))))</f>
        <v>51900</v>
      </c>
      <c r="G25" s="55">
        <v>0.48509999999999998</v>
      </c>
      <c r="H25" s="56">
        <f t="shared" ref="H25" si="23">(F25)*G25</f>
        <v>25176.69</v>
      </c>
      <c r="I25" s="56">
        <f>IFERROR(MIN(INDEX(Dash!$L$13:$L$15,MATCH($C25,Dash!$J$13:$J$15,0))*(F25),INDEX(Dash!$M$13:$M$15,MATCH($C25,Dash!$J$13:$J$15,0))),0)</f>
        <v>1150</v>
      </c>
      <c r="J25" s="57">
        <f>IFERROR(MIN((INDEX(Dash!$L$26:$L$29,MATCH($E25,Dash!$J$26:$J$29,0)))*(F25),INDEX(Dash!$M$26:$M$29,MATCH($E25,Dash!$J$26:$J$29,0))),0)</f>
        <v>1038</v>
      </c>
      <c r="K25" s="57">
        <f>IFERROR(INDEX(Dash!$K$19:$K$23,MATCH($B25,Dash!$J$19:$J$23,0))*(F25)*(1+G25),0)</f>
        <v>12640.577160000001</v>
      </c>
      <c r="L25" s="56">
        <f>IFERROR(IF(AND(Dash!$B$8="Yes",Dash!$B$9&lt;=$A25),((F25)*1*INDEX(Dash!$L$8:$L$10,MATCH($D25,Dash!$J$8:$J$10,0)))*1.5,((F25)*1*INDEX(Dash!$L$8:$L$10,MATCH($D25,Dash!$J$8:$J$10,0)))),0)</f>
        <v>4671</v>
      </c>
      <c r="M25" s="56">
        <f>IF(AND(F25&lt;&gt;0,MONTH(A25)=4),VLOOKUP(B25,Scales!$I$2:$K$5,2),0)</f>
        <v>0</v>
      </c>
      <c r="N25" s="58">
        <f t="shared" ref="N25" si="24">IF(F25&gt;0,600*(1+G25),0)</f>
        <v>891.06000000000006</v>
      </c>
      <c r="O25" s="59">
        <f t="shared" ref="O25" si="25">$F25+$H25+$I25+$J25+$K25+$L25+M25+N25</f>
        <v>97467.327160000001</v>
      </c>
      <c r="P25" s="45"/>
      <c r="Q25" s="60">
        <f>IFERROR(INDEX(Scales!$D:$D,MATCH($B25&amp;$F25,Scales!$C:$C,0)),0)</f>
        <v>69840</v>
      </c>
      <c r="R25" s="61">
        <f>_xlfn.IFNA(IF(AND(Dash!$B$10&lt;&gt;"",Dash!$B$10&lt;=$A25),INDEX(Scales!F:F,MATCH($B25&amp;$F25,Scales!$C:$C,0)),0),0)</f>
        <v>2680</v>
      </c>
      <c r="S25" s="53">
        <v>0.17199999999999999</v>
      </c>
      <c r="T25" s="61">
        <f t="shared" ref="T25" si="26">(Q25+R25)*S25</f>
        <v>12473.439999999999</v>
      </c>
      <c r="U25" s="61">
        <f>IFERROR(INDEX(Dash!$N$13:$N$15,MATCH($C25,Dash!$J$13:$J$15,0)),0)</f>
        <v>1900</v>
      </c>
      <c r="V25" s="64">
        <f>IFERROR(MIN((INDEX(Dash!$L$26:$L$29,MATCH($E25,Dash!$J$26:$J$29,0)))*(Q25+R25),INDEX(Dash!$N$26:$N$29,MATCH($E25,Dash!$J$26:$J$29,0))),0)</f>
        <v>1450</v>
      </c>
      <c r="W25" s="64">
        <f>IFERROR(INDEX(Dash!$L$19:$L$23,MATCH($B25,Dash!$J$19:$J$23,0))*(Q25+R25)*(1+S25),0)</f>
        <v>24053.143519999998</v>
      </c>
      <c r="X25" s="61">
        <f>IFERROR(IF(AND(Dash!$B$8="Yes",Dash!$B$9&lt;=$A25),((Q25+R25)*INDEX(Dash!$M$8:$M$10,MATCH($D25,Dash!$J$8:$J$10,0)))*1.5,((Q25+R25)*INDEX(Dash!$M$8:$M$10,MATCH($D25,Dash!$J$8:$J$10,0)))),0)</f>
        <v>7252</v>
      </c>
      <c r="Y25" s="150">
        <f>_xlfn.IFNA(IF(AND(Q25&lt;&gt;0,MONTH(A25)=4),VLOOKUP(B25,Scales!$I$2:$K$5,3),IF(A25&lt;44927,VLOOKUP(B25,Scales!$I$2:$K$5,3)/12,0)),0)</f>
        <v>0</v>
      </c>
      <c r="Z25" s="151">
        <f t="shared" ref="Z25" si="27">IF(Q25&gt;0,850*(1+S25),0)</f>
        <v>996.19999999999993</v>
      </c>
      <c r="AA25" s="17">
        <f t="shared" ref="AA25" si="28">Q25+R25+T25+U25+V25+W25+X25+Z25+Y25</f>
        <v>120644.78352</v>
      </c>
      <c r="AB25" s="152">
        <f t="shared" ref="AB25" si="29">AA25-O25</f>
        <v>23177.456359999996</v>
      </c>
      <c r="AC25" s="154">
        <f t="shared" ref="AC25" si="30">Q25+R25-F25</f>
        <v>20620</v>
      </c>
    </row>
    <row r="26" spans="1:30" ht="15" thickBot="1" x14ac:dyDescent="0.35">
      <c r="A26" s="49"/>
      <c r="B26" s="50"/>
      <c r="C26" s="50"/>
      <c r="D26" s="50"/>
      <c r="E26" s="50"/>
      <c r="F26" s="49"/>
      <c r="G26" s="5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1" t="s">
        <v>75</v>
      </c>
      <c r="T26" s="49"/>
      <c r="U26" s="49"/>
      <c r="V26" s="49"/>
      <c r="W26" s="49"/>
      <c r="X26" s="49"/>
      <c r="Y26" s="202" t="s">
        <v>52</v>
      </c>
      <c r="Z26" s="203"/>
      <c r="AA26" s="204"/>
      <c r="AB26" s="149">
        <f>SUM(AB3:AB25)</f>
        <v>481969.28793866653</v>
      </c>
      <c r="AC26" s="153">
        <f>SUM(AC3:AC25)</f>
        <v>459460</v>
      </c>
    </row>
    <row r="27" spans="1:30" hidden="1" x14ac:dyDescent="0.3">
      <c r="S27" s="40"/>
    </row>
  </sheetData>
  <sheetProtection password="E6CD" sheet="1" objects="1" scenarios="1"/>
  <mergeCells count="1">
    <mergeCell ref="Y26:AA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2"/>
  <sheetViews>
    <sheetView workbookViewId="0">
      <selection activeCell="E20" sqref="E20"/>
    </sheetView>
  </sheetViews>
  <sheetFormatPr defaultRowHeight="14.4" x14ac:dyDescent="0.3"/>
  <cols>
    <col min="1" max="1" width="13.44140625" style="12" bestFit="1" customWidth="1"/>
    <col min="3" max="3" width="10.88671875" bestFit="1" customWidth="1"/>
  </cols>
  <sheetData>
    <row r="1" spans="1:3" x14ac:dyDescent="0.3">
      <c r="A1" s="12">
        <v>44866</v>
      </c>
      <c r="C1" s="13">
        <v>43831</v>
      </c>
    </row>
    <row r="2" spans="1:3" x14ac:dyDescent="0.3">
      <c r="A2" s="12">
        <v>44896</v>
      </c>
      <c r="C2" s="13">
        <v>43862</v>
      </c>
    </row>
    <row r="3" spans="1:3" x14ac:dyDescent="0.3">
      <c r="A3" s="12">
        <v>44927</v>
      </c>
      <c r="C3" s="13">
        <v>43891</v>
      </c>
    </row>
    <row r="4" spans="1:3" x14ac:dyDescent="0.3">
      <c r="A4" s="12">
        <v>44958</v>
      </c>
      <c r="C4" s="13">
        <v>43922</v>
      </c>
    </row>
    <row r="5" spans="1:3" x14ac:dyDescent="0.3">
      <c r="A5" s="12">
        <v>44986</v>
      </c>
      <c r="C5" s="13">
        <v>43952</v>
      </c>
    </row>
    <row r="6" spans="1:3" x14ac:dyDescent="0.3">
      <c r="A6" s="12">
        <v>45017</v>
      </c>
      <c r="C6" s="13">
        <v>43983</v>
      </c>
    </row>
    <row r="7" spans="1:3" x14ac:dyDescent="0.3">
      <c r="A7" s="12">
        <v>45047</v>
      </c>
      <c r="C7" s="13">
        <v>44013</v>
      </c>
    </row>
    <row r="8" spans="1:3" x14ac:dyDescent="0.3">
      <c r="A8" s="12">
        <v>45078</v>
      </c>
      <c r="C8" s="13">
        <v>44044</v>
      </c>
    </row>
    <row r="9" spans="1:3" x14ac:dyDescent="0.3">
      <c r="A9" s="12">
        <v>45108</v>
      </c>
      <c r="C9" s="13">
        <v>44075</v>
      </c>
    </row>
    <row r="10" spans="1:3" x14ac:dyDescent="0.3">
      <c r="A10" s="12">
        <v>45139</v>
      </c>
      <c r="C10" s="13">
        <v>44105</v>
      </c>
    </row>
    <row r="11" spans="1:3" x14ac:dyDescent="0.3">
      <c r="A11" s="12">
        <v>45170</v>
      </c>
      <c r="C11" s="13">
        <v>44136</v>
      </c>
    </row>
    <row r="12" spans="1:3" x14ac:dyDescent="0.3">
      <c r="A12" s="12">
        <v>45200</v>
      </c>
      <c r="C12" s="13">
        <v>44166</v>
      </c>
    </row>
    <row r="13" spans="1:3" x14ac:dyDescent="0.3">
      <c r="A13" s="12">
        <v>45231</v>
      </c>
    </row>
    <row r="14" spans="1:3" x14ac:dyDescent="0.3">
      <c r="A14" s="12">
        <v>45261</v>
      </c>
    </row>
    <row r="15" spans="1:3" x14ac:dyDescent="0.3">
      <c r="A15" s="12">
        <v>45292</v>
      </c>
    </row>
    <row r="16" spans="1:3" x14ac:dyDescent="0.3">
      <c r="A16" s="12">
        <v>45323</v>
      </c>
    </row>
    <row r="17" spans="1:1" x14ac:dyDescent="0.3">
      <c r="A17" s="12">
        <v>45352</v>
      </c>
    </row>
    <row r="18" spans="1:1" x14ac:dyDescent="0.3">
      <c r="A18" s="12">
        <v>45383</v>
      </c>
    </row>
    <row r="19" spans="1:1" x14ac:dyDescent="0.3">
      <c r="A19" s="12">
        <v>45413</v>
      </c>
    </row>
    <row r="20" spans="1:1" x14ac:dyDescent="0.3">
      <c r="A20" s="12">
        <v>45444</v>
      </c>
    </row>
    <row r="21" spans="1:1" x14ac:dyDescent="0.3">
      <c r="A21" s="12">
        <v>45474</v>
      </c>
    </row>
    <row r="22" spans="1:1" x14ac:dyDescent="0.3">
      <c r="A22" s="12">
        <v>45505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91"/>
  <sheetViews>
    <sheetView workbookViewId="0">
      <selection activeCell="F63" sqref="F63"/>
    </sheetView>
  </sheetViews>
  <sheetFormatPr defaultRowHeight="14.4" x14ac:dyDescent="0.3"/>
  <cols>
    <col min="1" max="1" width="5.44140625" bestFit="1" customWidth="1"/>
    <col min="2" max="2" width="11.88671875" bestFit="1" customWidth="1"/>
    <col min="3" max="3" width="8" customWidth="1"/>
    <col min="4" max="4" width="12" bestFit="1" customWidth="1"/>
    <col min="5" max="5" width="5" bestFit="1" customWidth="1"/>
    <col min="6" max="6" width="7.88671875" bestFit="1" customWidth="1"/>
    <col min="11" max="11" width="8.88671875" style="42"/>
  </cols>
  <sheetData>
    <row r="1" spans="1:11" x14ac:dyDescent="0.3">
      <c r="A1" s="3" t="s">
        <v>12</v>
      </c>
      <c r="B1" s="4" t="s">
        <v>13</v>
      </c>
      <c r="C1" s="5" t="s">
        <v>18</v>
      </c>
      <c r="D1" s="5" t="s">
        <v>14</v>
      </c>
      <c r="E1" s="1" t="s">
        <v>67</v>
      </c>
      <c r="F1" s="1" t="s">
        <v>68</v>
      </c>
      <c r="I1" s="1" t="s">
        <v>29</v>
      </c>
      <c r="J1" s="1" t="s">
        <v>30</v>
      </c>
      <c r="K1" s="41" t="s">
        <v>31</v>
      </c>
    </row>
    <row r="2" spans="1:11" x14ac:dyDescent="0.3">
      <c r="A2" s="2" t="s">
        <v>11</v>
      </c>
      <c r="B2" s="6">
        <v>36000</v>
      </c>
      <c r="C2" s="6" t="str">
        <f>A2&amp;B2</f>
        <v>I36000</v>
      </c>
      <c r="D2">
        <v>48480</v>
      </c>
      <c r="E2" s="1">
        <f t="shared" ref="E2:E36" si="0">B3-B2</f>
        <v>1490</v>
      </c>
      <c r="F2" s="1">
        <f>D3-D2</f>
        <v>2000</v>
      </c>
      <c r="I2" s="1" t="s">
        <v>11</v>
      </c>
      <c r="J2" s="1">
        <v>10300</v>
      </c>
      <c r="K2" s="41">
        <v>13000</v>
      </c>
    </row>
    <row r="3" spans="1:11" x14ac:dyDescent="0.3">
      <c r="A3" s="2" t="s">
        <v>11</v>
      </c>
      <c r="B3" s="6">
        <v>37490</v>
      </c>
      <c r="C3" s="6" t="str">
        <f t="shared" ref="C3:C75" si="1">A3&amp;B3</f>
        <v>I37490</v>
      </c>
      <c r="D3">
        <v>50480</v>
      </c>
      <c r="E3" s="1">
        <f t="shared" si="0"/>
        <v>1490</v>
      </c>
      <c r="F3" s="1">
        <f t="shared" ref="F3:F75" si="2">D4-D3</f>
        <v>2000</v>
      </c>
      <c r="I3" s="1" t="s">
        <v>15</v>
      </c>
      <c r="J3" s="1">
        <v>10300</v>
      </c>
      <c r="K3" s="41">
        <v>13000</v>
      </c>
    </row>
    <row r="4" spans="1:11" x14ac:dyDescent="0.3">
      <c r="A4" s="2" t="s">
        <v>11</v>
      </c>
      <c r="B4" s="6">
        <v>38980</v>
      </c>
      <c r="C4" s="6" t="str">
        <f t="shared" si="1"/>
        <v>I38980</v>
      </c>
      <c r="D4">
        <v>52480</v>
      </c>
      <c r="E4" s="1">
        <f t="shared" si="0"/>
        <v>1490</v>
      </c>
      <c r="F4" s="1">
        <f t="shared" si="2"/>
        <v>2000</v>
      </c>
      <c r="I4" s="1" t="s">
        <v>16</v>
      </c>
      <c r="J4" s="1">
        <v>10300</v>
      </c>
      <c r="K4" s="41">
        <v>13000</v>
      </c>
    </row>
    <row r="5" spans="1:11" x14ac:dyDescent="0.3">
      <c r="A5" s="2" t="s">
        <v>11</v>
      </c>
      <c r="B5" s="6">
        <v>40470</v>
      </c>
      <c r="C5" s="6" t="str">
        <f t="shared" si="1"/>
        <v>I40470</v>
      </c>
      <c r="D5">
        <v>54480</v>
      </c>
      <c r="E5" s="1">
        <f t="shared" si="0"/>
        <v>1490</v>
      </c>
      <c r="F5" s="1">
        <f t="shared" si="2"/>
        <v>2000</v>
      </c>
      <c r="I5" s="1" t="s">
        <v>17</v>
      </c>
      <c r="J5" s="1">
        <v>12300</v>
      </c>
      <c r="K5" s="41">
        <v>15400</v>
      </c>
    </row>
    <row r="6" spans="1:11" x14ac:dyDescent="0.3">
      <c r="A6" s="2" t="s">
        <v>11</v>
      </c>
      <c r="B6" s="6">
        <v>41960</v>
      </c>
      <c r="C6" s="6" t="str">
        <f t="shared" si="1"/>
        <v>I41960</v>
      </c>
      <c r="D6">
        <v>56480</v>
      </c>
      <c r="E6" s="1">
        <f t="shared" si="0"/>
        <v>1490</v>
      </c>
      <c r="F6" s="1">
        <f t="shared" si="2"/>
        <v>2000</v>
      </c>
    </row>
    <row r="7" spans="1:11" x14ac:dyDescent="0.3">
      <c r="A7" s="2" t="s">
        <v>11</v>
      </c>
      <c r="B7" s="6">
        <v>43450</v>
      </c>
      <c r="C7" s="6" t="str">
        <f t="shared" si="1"/>
        <v>I43450</v>
      </c>
      <c r="D7">
        <v>58480</v>
      </c>
      <c r="E7" s="1">
        <f t="shared" si="0"/>
        <v>1490</v>
      </c>
      <c r="F7" s="1">
        <f t="shared" si="2"/>
        <v>2000</v>
      </c>
    </row>
    <row r="8" spans="1:11" x14ac:dyDescent="0.3">
      <c r="A8" s="2" t="s">
        <v>11</v>
      </c>
      <c r="B8" s="6">
        <v>44940</v>
      </c>
      <c r="C8" s="6" t="str">
        <f t="shared" si="1"/>
        <v>I44940</v>
      </c>
      <c r="D8">
        <v>60480</v>
      </c>
      <c r="E8" s="1">
        <f t="shared" si="0"/>
        <v>1490</v>
      </c>
      <c r="F8" s="1">
        <f t="shared" si="2"/>
        <v>2000</v>
      </c>
    </row>
    <row r="9" spans="1:11" x14ac:dyDescent="0.3">
      <c r="A9" s="2" t="s">
        <v>11</v>
      </c>
      <c r="B9" s="6">
        <v>46430</v>
      </c>
      <c r="C9" s="6" t="str">
        <f t="shared" si="1"/>
        <v>I46430</v>
      </c>
      <c r="D9">
        <v>62480</v>
      </c>
      <c r="E9" s="1">
        <f t="shared" si="0"/>
        <v>1740</v>
      </c>
      <c r="F9" s="1">
        <f t="shared" si="2"/>
        <v>2340</v>
      </c>
    </row>
    <row r="10" spans="1:11" x14ac:dyDescent="0.3">
      <c r="A10" s="2" t="s">
        <v>11</v>
      </c>
      <c r="B10" s="6">
        <v>48170</v>
      </c>
      <c r="C10" s="6" t="str">
        <f t="shared" si="1"/>
        <v>I48170</v>
      </c>
      <c r="D10">
        <v>64820</v>
      </c>
      <c r="E10" s="1">
        <f t="shared" si="0"/>
        <v>1740</v>
      </c>
      <c r="F10" s="1">
        <f t="shared" si="2"/>
        <v>2340</v>
      </c>
    </row>
    <row r="11" spans="1:11" x14ac:dyDescent="0.3">
      <c r="A11" s="2" t="s">
        <v>11</v>
      </c>
      <c r="B11" s="6">
        <v>49910</v>
      </c>
      <c r="C11" s="6" t="str">
        <f t="shared" si="1"/>
        <v>I49910</v>
      </c>
      <c r="D11">
        <v>67160</v>
      </c>
      <c r="E11" s="1">
        <f t="shared" si="0"/>
        <v>1990</v>
      </c>
      <c r="F11" s="1">
        <f t="shared" si="2"/>
        <v>2680</v>
      </c>
    </row>
    <row r="12" spans="1:11" x14ac:dyDescent="0.3">
      <c r="A12" s="2" t="s">
        <v>11</v>
      </c>
      <c r="B12" s="6">
        <v>51900</v>
      </c>
      <c r="C12" s="6" t="str">
        <f t="shared" si="1"/>
        <v>I51900</v>
      </c>
      <c r="D12">
        <v>69840</v>
      </c>
      <c r="E12" s="1">
        <f t="shared" si="0"/>
        <v>1990</v>
      </c>
      <c r="F12" s="1">
        <f t="shared" si="2"/>
        <v>2680</v>
      </c>
    </row>
    <row r="13" spans="1:11" x14ac:dyDescent="0.3">
      <c r="A13" s="2" t="s">
        <v>11</v>
      </c>
      <c r="B13" s="6">
        <v>53890</v>
      </c>
      <c r="C13" s="6" t="str">
        <f t="shared" si="1"/>
        <v>I53890</v>
      </c>
      <c r="D13">
        <v>72520</v>
      </c>
      <c r="E13" s="1">
        <f t="shared" si="0"/>
        <v>1990</v>
      </c>
      <c r="F13" s="1">
        <f t="shared" si="2"/>
        <v>2680</v>
      </c>
    </row>
    <row r="14" spans="1:11" x14ac:dyDescent="0.3">
      <c r="A14" s="2" t="s">
        <v>11</v>
      </c>
      <c r="B14" s="6">
        <v>55880</v>
      </c>
      <c r="C14" s="6" t="str">
        <f t="shared" si="1"/>
        <v>I55880</v>
      </c>
      <c r="D14">
        <v>75200</v>
      </c>
      <c r="E14" s="1">
        <f t="shared" si="0"/>
        <v>1990</v>
      </c>
      <c r="F14" s="1">
        <f t="shared" si="2"/>
        <v>2680</v>
      </c>
    </row>
    <row r="15" spans="1:11" x14ac:dyDescent="0.3">
      <c r="A15" s="2" t="s">
        <v>11</v>
      </c>
      <c r="B15" s="6">
        <v>57870</v>
      </c>
      <c r="C15" s="6" t="str">
        <f t="shared" si="1"/>
        <v>I57870</v>
      </c>
      <c r="D15">
        <v>77880</v>
      </c>
      <c r="E15" s="1">
        <f t="shared" si="0"/>
        <v>1990</v>
      </c>
      <c r="F15" s="1">
        <f t="shared" si="2"/>
        <v>2680</v>
      </c>
    </row>
    <row r="16" spans="1:11" x14ac:dyDescent="0.3">
      <c r="A16" s="2" t="s">
        <v>11</v>
      </c>
      <c r="B16" s="6">
        <v>59860</v>
      </c>
      <c r="C16" s="6" t="str">
        <f t="shared" si="1"/>
        <v>I59860</v>
      </c>
      <c r="D16">
        <v>80560</v>
      </c>
      <c r="E16" s="1">
        <f t="shared" si="0"/>
        <v>1990</v>
      </c>
      <c r="F16" s="1">
        <f t="shared" si="2"/>
        <v>2680</v>
      </c>
    </row>
    <row r="17" spans="1:6" x14ac:dyDescent="0.3">
      <c r="A17" s="2" t="s">
        <v>11</v>
      </c>
      <c r="B17" s="6">
        <v>61850</v>
      </c>
      <c r="C17" s="6" t="str">
        <f t="shared" si="1"/>
        <v>I61850</v>
      </c>
      <c r="D17">
        <v>83240</v>
      </c>
      <c r="E17" s="1">
        <f t="shared" si="0"/>
        <v>1990</v>
      </c>
      <c r="F17" s="1">
        <f t="shared" si="2"/>
        <v>2680</v>
      </c>
    </row>
    <row r="18" spans="1:6" x14ac:dyDescent="0.3">
      <c r="A18" s="2" t="s">
        <v>11</v>
      </c>
      <c r="B18" s="6">
        <v>63840</v>
      </c>
      <c r="C18" s="6" t="str">
        <f t="shared" si="1"/>
        <v>I63840</v>
      </c>
      <c r="D18">
        <v>85920</v>
      </c>
      <c r="E18" s="1">
        <f t="shared" ref="E18:E23" si="3">B19-B18</f>
        <v>0</v>
      </c>
      <c r="F18" s="1">
        <f t="shared" ref="F18:F23" si="4">D19-D18</f>
        <v>0</v>
      </c>
    </row>
    <row r="19" spans="1:6" x14ac:dyDescent="0.3">
      <c r="A19" s="2" t="s">
        <v>11</v>
      </c>
      <c r="B19" s="6">
        <v>63840</v>
      </c>
      <c r="C19" s="6" t="str">
        <f t="shared" si="1"/>
        <v>I63840</v>
      </c>
      <c r="D19">
        <v>85920</v>
      </c>
      <c r="E19" s="1">
        <f t="shared" si="3"/>
        <v>1990</v>
      </c>
      <c r="F19" s="1">
        <f t="shared" si="4"/>
        <v>2680</v>
      </c>
    </row>
    <row r="20" spans="1:6" x14ac:dyDescent="0.3">
      <c r="A20" s="2" t="s">
        <v>11</v>
      </c>
      <c r="B20" s="6">
        <v>65830</v>
      </c>
      <c r="C20" s="6" t="str">
        <f t="shared" si="1"/>
        <v>I65830</v>
      </c>
      <c r="D20">
        <f>D19+2680</f>
        <v>88600</v>
      </c>
      <c r="E20" s="1">
        <f t="shared" si="3"/>
        <v>0</v>
      </c>
      <c r="F20" s="1">
        <f t="shared" si="4"/>
        <v>0</v>
      </c>
    </row>
    <row r="21" spans="1:6" x14ac:dyDescent="0.3">
      <c r="A21" s="2" t="s">
        <v>11</v>
      </c>
      <c r="B21" s="6">
        <v>65830</v>
      </c>
      <c r="C21" s="6" t="str">
        <f t="shared" si="1"/>
        <v>I65830</v>
      </c>
      <c r="D21">
        <v>88600</v>
      </c>
      <c r="E21" s="1">
        <f t="shared" si="3"/>
        <v>1990</v>
      </c>
      <c r="F21" s="1">
        <f t="shared" si="4"/>
        <v>2680</v>
      </c>
    </row>
    <row r="22" spans="1:6" x14ac:dyDescent="0.3">
      <c r="A22" s="2" t="s">
        <v>11</v>
      </c>
      <c r="B22" s="6">
        <v>67820</v>
      </c>
      <c r="C22" s="6" t="str">
        <f t="shared" si="1"/>
        <v>I67820</v>
      </c>
      <c r="D22">
        <f>D21+2680</f>
        <v>91280</v>
      </c>
      <c r="E22" s="1">
        <f t="shared" si="3"/>
        <v>0</v>
      </c>
      <c r="F22" s="1">
        <f t="shared" si="4"/>
        <v>0</v>
      </c>
    </row>
    <row r="23" spans="1:6" x14ac:dyDescent="0.3">
      <c r="A23" s="2" t="s">
        <v>11</v>
      </c>
      <c r="B23" s="6">
        <v>67820</v>
      </c>
      <c r="C23" s="6" t="str">
        <f t="shared" si="1"/>
        <v>I67820</v>
      </c>
      <c r="D23">
        <v>91280</v>
      </c>
      <c r="E23" s="1">
        <f t="shared" si="3"/>
        <v>1990</v>
      </c>
      <c r="F23" s="1">
        <f t="shared" si="4"/>
        <v>2680</v>
      </c>
    </row>
    <row r="24" spans="1:6" x14ac:dyDescent="0.3">
      <c r="A24" s="2" t="s">
        <v>11</v>
      </c>
      <c r="B24" s="6">
        <v>69810</v>
      </c>
      <c r="C24" s="6" t="str">
        <f t="shared" si="1"/>
        <v>I69810</v>
      </c>
      <c r="D24">
        <v>93960</v>
      </c>
      <c r="E24" s="1">
        <f t="shared" ref="E24:E27" si="5">B25-B24</f>
        <v>1990</v>
      </c>
      <c r="F24" s="1">
        <f t="shared" ref="F24:F27" si="6">D25-D24</f>
        <v>2680</v>
      </c>
    </row>
    <row r="25" spans="1:6" x14ac:dyDescent="0.3">
      <c r="A25" s="2" t="s">
        <v>11</v>
      </c>
      <c r="B25" s="7">
        <v>71800</v>
      </c>
      <c r="C25" s="7" t="str">
        <f t="shared" si="1"/>
        <v>I71800</v>
      </c>
      <c r="D25" s="44">
        <v>96640</v>
      </c>
      <c r="E25" s="43">
        <f t="shared" si="5"/>
        <v>1990</v>
      </c>
      <c r="F25" s="43">
        <f t="shared" si="6"/>
        <v>2680</v>
      </c>
    </row>
    <row r="26" spans="1:6" x14ac:dyDescent="0.3">
      <c r="A26" s="2" t="s">
        <v>11</v>
      </c>
      <c r="B26" s="7">
        <v>73790</v>
      </c>
      <c r="C26" s="7" t="str">
        <f t="shared" si="1"/>
        <v>I73790</v>
      </c>
      <c r="D26" s="44">
        <v>99320</v>
      </c>
      <c r="E26" s="43">
        <f t="shared" si="5"/>
        <v>2220</v>
      </c>
      <c r="F26" s="43">
        <f t="shared" si="6"/>
        <v>2980</v>
      </c>
    </row>
    <row r="27" spans="1:6" x14ac:dyDescent="0.3">
      <c r="A27" s="2" t="s">
        <v>11</v>
      </c>
      <c r="B27" s="7">
        <v>76010</v>
      </c>
      <c r="C27" s="7" t="str">
        <f t="shared" si="1"/>
        <v>I76010</v>
      </c>
      <c r="D27" s="44">
        <v>102300</v>
      </c>
      <c r="E27" s="43">
        <f t="shared" si="5"/>
        <v>2220</v>
      </c>
      <c r="F27" s="43">
        <f t="shared" si="6"/>
        <v>2980</v>
      </c>
    </row>
    <row r="28" spans="1:6" x14ac:dyDescent="0.3">
      <c r="A28" s="2" t="s">
        <v>11</v>
      </c>
      <c r="B28" s="7">
        <v>78230</v>
      </c>
      <c r="C28" s="7" t="str">
        <f t="shared" si="1"/>
        <v>I78230</v>
      </c>
      <c r="D28" s="44">
        <v>105280</v>
      </c>
      <c r="E28" s="43">
        <f t="shared" ref="E28" si="7">B29-B28</f>
        <v>2220</v>
      </c>
      <c r="F28" s="43">
        <f t="shared" ref="F28:F30" si="8">D29-D28</f>
        <v>2980</v>
      </c>
    </row>
    <row r="29" spans="1:6" x14ac:dyDescent="0.3">
      <c r="A29" s="2" t="s">
        <v>11</v>
      </c>
      <c r="B29" s="7">
        <v>80450</v>
      </c>
      <c r="C29" s="7" t="str">
        <f t="shared" si="1"/>
        <v>I80450</v>
      </c>
      <c r="D29" s="44">
        <v>108260</v>
      </c>
      <c r="E29" s="43">
        <f t="shared" ref="E29:E30" si="9">B30-B29</f>
        <v>0</v>
      </c>
      <c r="F29" s="43">
        <f t="shared" si="8"/>
        <v>2980</v>
      </c>
    </row>
    <row r="30" spans="1:6" x14ac:dyDescent="0.3">
      <c r="A30" s="2" t="s">
        <v>11</v>
      </c>
      <c r="B30" s="7">
        <v>80450</v>
      </c>
      <c r="C30" s="7" t="str">
        <f t="shared" ref="C30" si="10">A30&amp;B30</f>
        <v>I80450</v>
      </c>
      <c r="D30" s="44">
        <v>111240</v>
      </c>
      <c r="E30" s="43">
        <f t="shared" si="9"/>
        <v>0</v>
      </c>
      <c r="F30" s="43">
        <f t="shared" si="8"/>
        <v>2980</v>
      </c>
    </row>
    <row r="31" spans="1:6" x14ac:dyDescent="0.3">
      <c r="A31" s="2" t="s">
        <v>11</v>
      </c>
      <c r="B31" s="7">
        <v>80450</v>
      </c>
      <c r="C31" s="7" t="str">
        <f t="shared" ref="C31" si="11">A31&amp;B31</f>
        <v>I80450</v>
      </c>
      <c r="D31" s="10">
        <v>114220</v>
      </c>
      <c r="E31" s="43">
        <v>0</v>
      </c>
      <c r="F31" s="43">
        <v>0</v>
      </c>
    </row>
    <row r="32" spans="1:6" x14ac:dyDescent="0.3">
      <c r="A32" s="2" t="s">
        <v>15</v>
      </c>
      <c r="B32" s="6">
        <v>48170</v>
      </c>
      <c r="C32" s="6" t="str">
        <f t="shared" si="1"/>
        <v>II48170</v>
      </c>
      <c r="D32" s="9">
        <v>64820</v>
      </c>
      <c r="E32" s="1">
        <f t="shared" si="0"/>
        <v>1740</v>
      </c>
      <c r="F32" s="1">
        <f t="shared" si="2"/>
        <v>2340</v>
      </c>
    </row>
    <row r="33" spans="1:6" x14ac:dyDescent="0.3">
      <c r="A33" s="2" t="s">
        <v>15</v>
      </c>
      <c r="B33" s="6">
        <v>49910</v>
      </c>
      <c r="C33" s="6" t="str">
        <f t="shared" si="1"/>
        <v>II49910</v>
      </c>
      <c r="D33" s="9">
        <v>67160</v>
      </c>
      <c r="E33" s="1">
        <f t="shared" si="0"/>
        <v>1990</v>
      </c>
      <c r="F33" s="1">
        <f t="shared" si="2"/>
        <v>2680</v>
      </c>
    </row>
    <row r="34" spans="1:6" x14ac:dyDescent="0.3">
      <c r="A34" s="2" t="s">
        <v>15</v>
      </c>
      <c r="B34" s="6">
        <v>51900</v>
      </c>
      <c r="C34" s="6" t="str">
        <f t="shared" si="1"/>
        <v>II51900</v>
      </c>
      <c r="D34" s="9">
        <f>D33+2680</f>
        <v>69840</v>
      </c>
      <c r="E34" s="1">
        <f t="shared" si="0"/>
        <v>1990</v>
      </c>
      <c r="F34" s="1">
        <f t="shared" si="2"/>
        <v>2680</v>
      </c>
    </row>
    <row r="35" spans="1:6" x14ac:dyDescent="0.3">
      <c r="A35" s="2" t="s">
        <v>15</v>
      </c>
      <c r="B35" s="6">
        <v>53890</v>
      </c>
      <c r="C35" s="6" t="str">
        <f t="shared" si="1"/>
        <v>II53890</v>
      </c>
      <c r="D35" s="9">
        <f t="shared" ref="D35:D43" si="12">D34+2680</f>
        <v>72520</v>
      </c>
      <c r="E35" s="1">
        <f t="shared" si="0"/>
        <v>1990</v>
      </c>
      <c r="F35" s="1">
        <f t="shared" si="2"/>
        <v>2680</v>
      </c>
    </row>
    <row r="36" spans="1:6" x14ac:dyDescent="0.3">
      <c r="A36" s="2" t="s">
        <v>15</v>
      </c>
      <c r="B36" s="6">
        <v>55880</v>
      </c>
      <c r="C36" s="6" t="str">
        <f t="shared" si="1"/>
        <v>II55880</v>
      </c>
      <c r="D36" s="9">
        <f t="shared" si="12"/>
        <v>75200</v>
      </c>
      <c r="E36" s="1">
        <f t="shared" si="0"/>
        <v>1990</v>
      </c>
      <c r="F36" s="1">
        <f t="shared" si="2"/>
        <v>2680</v>
      </c>
    </row>
    <row r="37" spans="1:6" x14ac:dyDescent="0.3">
      <c r="A37" s="2" t="s">
        <v>15</v>
      </c>
      <c r="B37" s="6">
        <v>57870</v>
      </c>
      <c r="C37" s="6" t="str">
        <f t="shared" si="1"/>
        <v>II57870</v>
      </c>
      <c r="D37" s="9">
        <f t="shared" si="12"/>
        <v>77880</v>
      </c>
      <c r="E37" s="1">
        <f t="shared" ref="E37:E42" si="13">B38-B37</f>
        <v>1990</v>
      </c>
      <c r="F37" s="1">
        <f t="shared" si="2"/>
        <v>2680</v>
      </c>
    </row>
    <row r="38" spans="1:6" x14ac:dyDescent="0.3">
      <c r="A38" s="2" t="s">
        <v>15</v>
      </c>
      <c r="B38" s="6">
        <v>59860</v>
      </c>
      <c r="C38" s="6" t="str">
        <f t="shared" si="1"/>
        <v>II59860</v>
      </c>
      <c r="D38" s="9">
        <f t="shared" si="12"/>
        <v>80560</v>
      </c>
      <c r="E38" s="1">
        <f t="shared" si="13"/>
        <v>1990</v>
      </c>
      <c r="F38" s="1">
        <f t="shared" si="2"/>
        <v>2680</v>
      </c>
    </row>
    <row r="39" spans="1:6" x14ac:dyDescent="0.3">
      <c r="A39" s="2" t="s">
        <v>15</v>
      </c>
      <c r="B39" s="6">
        <v>61850</v>
      </c>
      <c r="C39" s="6" t="str">
        <f t="shared" si="1"/>
        <v>II61850</v>
      </c>
      <c r="D39" s="9">
        <f t="shared" si="12"/>
        <v>83240</v>
      </c>
      <c r="E39" s="1">
        <f t="shared" si="13"/>
        <v>1990</v>
      </c>
      <c r="F39" s="1">
        <f t="shared" si="2"/>
        <v>2680</v>
      </c>
    </row>
    <row r="40" spans="1:6" x14ac:dyDescent="0.3">
      <c r="A40" s="2" t="s">
        <v>15</v>
      </c>
      <c r="B40" s="6">
        <v>63840</v>
      </c>
      <c r="C40" s="6" t="str">
        <f t="shared" si="1"/>
        <v>II63840</v>
      </c>
      <c r="D40" s="9">
        <f t="shared" si="12"/>
        <v>85920</v>
      </c>
      <c r="E40" s="1">
        <f t="shared" si="13"/>
        <v>1990</v>
      </c>
      <c r="F40" s="1">
        <f t="shared" si="2"/>
        <v>2680</v>
      </c>
    </row>
    <row r="41" spans="1:6" x14ac:dyDescent="0.3">
      <c r="A41" s="2" t="s">
        <v>15</v>
      </c>
      <c r="B41" s="6">
        <v>65830</v>
      </c>
      <c r="C41" s="6" t="str">
        <f t="shared" si="1"/>
        <v>II65830</v>
      </c>
      <c r="D41" s="9">
        <f t="shared" si="12"/>
        <v>88600</v>
      </c>
      <c r="E41" s="1">
        <f t="shared" si="13"/>
        <v>1990</v>
      </c>
      <c r="F41" s="1">
        <f t="shared" si="2"/>
        <v>2680</v>
      </c>
    </row>
    <row r="42" spans="1:6" x14ac:dyDescent="0.3">
      <c r="A42" s="2" t="s">
        <v>15</v>
      </c>
      <c r="B42" s="6">
        <v>67820</v>
      </c>
      <c r="C42" s="6" t="str">
        <f t="shared" si="1"/>
        <v>II67820</v>
      </c>
      <c r="D42" s="9">
        <f t="shared" si="12"/>
        <v>91280</v>
      </c>
      <c r="E42" s="1">
        <f t="shared" si="13"/>
        <v>1990</v>
      </c>
      <c r="F42" s="1">
        <f t="shared" si="2"/>
        <v>2680</v>
      </c>
    </row>
    <row r="43" spans="1:6" x14ac:dyDescent="0.3">
      <c r="A43" s="2" t="s">
        <v>15</v>
      </c>
      <c r="B43" s="6">
        <v>69810</v>
      </c>
      <c r="C43" s="6" t="str">
        <f t="shared" si="1"/>
        <v>II69810</v>
      </c>
      <c r="D43" s="9">
        <f t="shared" si="12"/>
        <v>93960</v>
      </c>
      <c r="E43" s="1">
        <f t="shared" ref="E43:E53" si="14">B44-B43</f>
        <v>1990</v>
      </c>
      <c r="F43" s="1">
        <f t="shared" ref="F43:F53" si="15">D44-D43</f>
        <v>2680</v>
      </c>
    </row>
    <row r="44" spans="1:6" x14ac:dyDescent="0.3">
      <c r="A44" s="2" t="s">
        <v>15</v>
      </c>
      <c r="B44" s="6">
        <v>71800</v>
      </c>
      <c r="C44" s="6" t="str">
        <f t="shared" si="1"/>
        <v>II71800</v>
      </c>
      <c r="D44" s="9">
        <v>96640</v>
      </c>
      <c r="E44" s="1">
        <f t="shared" si="14"/>
        <v>1990</v>
      </c>
      <c r="F44" s="1">
        <f t="shared" si="15"/>
        <v>2680</v>
      </c>
    </row>
    <row r="45" spans="1:6" x14ac:dyDescent="0.3">
      <c r="A45" s="2" t="s">
        <v>15</v>
      </c>
      <c r="B45" s="6">
        <v>73790</v>
      </c>
      <c r="C45" s="6" t="str">
        <f t="shared" si="1"/>
        <v>II73790</v>
      </c>
      <c r="D45" s="9">
        <v>99320</v>
      </c>
      <c r="E45" s="1">
        <f t="shared" si="14"/>
        <v>2220</v>
      </c>
      <c r="F45" s="1">
        <f t="shared" si="15"/>
        <v>2980</v>
      </c>
    </row>
    <row r="46" spans="1:6" x14ac:dyDescent="0.3">
      <c r="A46" s="2" t="s">
        <v>15</v>
      </c>
      <c r="B46" s="6">
        <v>76010</v>
      </c>
      <c r="C46" s="6" t="str">
        <f t="shared" si="1"/>
        <v>II76010</v>
      </c>
      <c r="D46" s="9">
        <v>102300</v>
      </c>
      <c r="E46" s="1">
        <f t="shared" si="14"/>
        <v>2220</v>
      </c>
      <c r="F46" s="1">
        <f t="shared" si="15"/>
        <v>2980</v>
      </c>
    </row>
    <row r="47" spans="1:6" x14ac:dyDescent="0.3">
      <c r="A47" s="2" t="s">
        <v>15</v>
      </c>
      <c r="B47" s="6">
        <v>78230</v>
      </c>
      <c r="C47" s="6" t="str">
        <f t="shared" si="1"/>
        <v>II78230</v>
      </c>
      <c r="D47" s="9">
        <f>D46+2980</f>
        <v>105280</v>
      </c>
      <c r="E47" s="1">
        <f t="shared" si="14"/>
        <v>2220</v>
      </c>
      <c r="F47" s="1">
        <f t="shared" si="15"/>
        <v>2980</v>
      </c>
    </row>
    <row r="48" spans="1:6" x14ac:dyDescent="0.3">
      <c r="A48" s="2" t="s">
        <v>15</v>
      </c>
      <c r="B48" s="7">
        <v>80450</v>
      </c>
      <c r="C48" s="7" t="str">
        <f t="shared" si="1"/>
        <v>II80450</v>
      </c>
      <c r="D48" s="11">
        <v>108260</v>
      </c>
      <c r="E48" s="43">
        <f t="shared" si="14"/>
        <v>2220</v>
      </c>
      <c r="F48" s="43">
        <f t="shared" si="15"/>
        <v>2980</v>
      </c>
    </row>
    <row r="49" spans="1:6" x14ac:dyDescent="0.3">
      <c r="A49" s="2" t="s">
        <v>15</v>
      </c>
      <c r="B49" s="7">
        <v>82670</v>
      </c>
      <c r="C49" s="7" t="str">
        <f t="shared" si="1"/>
        <v>II82670</v>
      </c>
      <c r="D49" s="11">
        <v>111240</v>
      </c>
      <c r="E49" s="43">
        <f t="shared" si="14"/>
        <v>2220</v>
      </c>
      <c r="F49" s="43">
        <f t="shared" si="15"/>
        <v>2980</v>
      </c>
    </row>
    <row r="50" spans="1:6" x14ac:dyDescent="0.3">
      <c r="A50" s="2" t="s">
        <v>15</v>
      </c>
      <c r="B50" s="7">
        <v>84890</v>
      </c>
      <c r="C50" s="7" t="str">
        <f t="shared" si="1"/>
        <v>II84890</v>
      </c>
      <c r="D50" s="11">
        <v>114220</v>
      </c>
      <c r="E50" s="43">
        <f t="shared" si="14"/>
        <v>2220</v>
      </c>
      <c r="F50" s="43">
        <f t="shared" si="15"/>
        <v>2980</v>
      </c>
    </row>
    <row r="51" spans="1:6" x14ac:dyDescent="0.3">
      <c r="A51" s="2" t="s">
        <v>15</v>
      </c>
      <c r="B51" s="7">
        <v>87110</v>
      </c>
      <c r="C51" s="7" t="str">
        <f t="shared" si="1"/>
        <v>II87110</v>
      </c>
      <c r="D51" s="11">
        <v>117200</v>
      </c>
      <c r="E51" s="43">
        <f t="shared" si="14"/>
        <v>2220</v>
      </c>
      <c r="F51" s="43">
        <f t="shared" si="15"/>
        <v>2980</v>
      </c>
    </row>
    <row r="52" spans="1:6" x14ac:dyDescent="0.3">
      <c r="A52" s="2" t="s">
        <v>15</v>
      </c>
      <c r="B52" s="7">
        <v>89330</v>
      </c>
      <c r="C52" s="7" t="str">
        <f t="shared" si="1"/>
        <v>II89330</v>
      </c>
      <c r="D52" s="11">
        <v>120180</v>
      </c>
      <c r="E52" s="43">
        <v>0</v>
      </c>
      <c r="F52" s="43">
        <f t="shared" si="15"/>
        <v>3360</v>
      </c>
    </row>
    <row r="53" spans="1:6" x14ac:dyDescent="0.3">
      <c r="A53" s="2" t="s">
        <v>15</v>
      </c>
      <c r="B53" s="7"/>
      <c r="C53" s="7"/>
      <c r="D53" s="11">
        <v>123540</v>
      </c>
      <c r="E53" s="43">
        <f t="shared" si="14"/>
        <v>0</v>
      </c>
      <c r="F53" s="43">
        <f t="shared" si="15"/>
        <v>3360</v>
      </c>
    </row>
    <row r="54" spans="1:6" x14ac:dyDescent="0.3">
      <c r="A54" s="2" t="s">
        <v>15</v>
      </c>
      <c r="B54" s="7"/>
      <c r="C54" s="7"/>
      <c r="D54" s="11">
        <v>126900</v>
      </c>
      <c r="E54" s="43">
        <v>0</v>
      </c>
      <c r="F54" s="43">
        <v>0</v>
      </c>
    </row>
    <row r="55" spans="1:6" x14ac:dyDescent="0.3">
      <c r="A55" s="2" t="s">
        <v>16</v>
      </c>
      <c r="B55" s="6">
        <v>63840</v>
      </c>
      <c r="C55" s="6" t="str">
        <f t="shared" si="1"/>
        <v>III63840</v>
      </c>
      <c r="D55" s="9">
        <v>85920</v>
      </c>
      <c r="E55" s="1">
        <f t="shared" ref="E55:E69" si="16">B56-B55</f>
        <v>1990</v>
      </c>
      <c r="F55" s="1">
        <f t="shared" si="2"/>
        <v>2680</v>
      </c>
    </row>
    <row r="56" spans="1:6" x14ac:dyDescent="0.3">
      <c r="A56" s="2" t="s">
        <v>16</v>
      </c>
      <c r="B56" s="6">
        <v>65830</v>
      </c>
      <c r="C56" s="6" t="str">
        <f t="shared" si="1"/>
        <v>III65830</v>
      </c>
      <c r="D56" s="9">
        <f>D55+2680</f>
        <v>88600</v>
      </c>
      <c r="E56" s="1">
        <f t="shared" si="16"/>
        <v>1990</v>
      </c>
      <c r="F56" s="1">
        <f t="shared" si="2"/>
        <v>2680</v>
      </c>
    </row>
    <row r="57" spans="1:6" x14ac:dyDescent="0.3">
      <c r="A57" s="2" t="s">
        <v>16</v>
      </c>
      <c r="B57" s="6">
        <v>67820</v>
      </c>
      <c r="C57" s="6" t="str">
        <f t="shared" si="1"/>
        <v>III67820</v>
      </c>
      <c r="D57" s="9">
        <f t="shared" ref="D57:D60" si="17">D56+2680</f>
        <v>91280</v>
      </c>
      <c r="E57" s="1">
        <f t="shared" si="16"/>
        <v>1990</v>
      </c>
      <c r="F57" s="1">
        <f t="shared" si="2"/>
        <v>2680</v>
      </c>
    </row>
    <row r="58" spans="1:6" x14ac:dyDescent="0.3">
      <c r="A58" s="2" t="s">
        <v>16</v>
      </c>
      <c r="B58" s="6">
        <v>69810</v>
      </c>
      <c r="C58" s="6" t="str">
        <f t="shared" si="1"/>
        <v>III69810</v>
      </c>
      <c r="D58" s="9">
        <f t="shared" si="17"/>
        <v>93960</v>
      </c>
      <c r="E58" s="1">
        <f t="shared" si="16"/>
        <v>1990</v>
      </c>
      <c r="F58" s="1">
        <f t="shared" si="2"/>
        <v>2680</v>
      </c>
    </row>
    <row r="59" spans="1:6" x14ac:dyDescent="0.3">
      <c r="A59" s="2" t="s">
        <v>16</v>
      </c>
      <c r="B59" s="6">
        <v>71800</v>
      </c>
      <c r="C59" s="6" t="str">
        <f t="shared" si="1"/>
        <v>III71800</v>
      </c>
      <c r="D59" s="9">
        <f t="shared" si="17"/>
        <v>96640</v>
      </c>
      <c r="E59" s="1">
        <f t="shared" si="16"/>
        <v>1990</v>
      </c>
      <c r="F59" s="1">
        <f t="shared" si="2"/>
        <v>2680</v>
      </c>
    </row>
    <row r="60" spans="1:6" x14ac:dyDescent="0.3">
      <c r="A60" s="2" t="s">
        <v>16</v>
      </c>
      <c r="B60" s="6">
        <v>73790</v>
      </c>
      <c r="C60" s="6" t="str">
        <f t="shared" si="1"/>
        <v>III73790</v>
      </c>
      <c r="D60" s="9">
        <f t="shared" si="17"/>
        <v>99320</v>
      </c>
      <c r="E60" s="1">
        <f t="shared" si="16"/>
        <v>2220</v>
      </c>
      <c r="F60" s="1">
        <f t="shared" si="2"/>
        <v>2980</v>
      </c>
    </row>
    <row r="61" spans="1:6" x14ac:dyDescent="0.3">
      <c r="A61" s="2" t="s">
        <v>16</v>
      </c>
      <c r="B61" s="6">
        <v>76010</v>
      </c>
      <c r="C61" s="6" t="str">
        <f t="shared" si="1"/>
        <v>III76010</v>
      </c>
      <c r="D61" s="9">
        <f>D60+2980</f>
        <v>102300</v>
      </c>
      <c r="E61" s="1">
        <f t="shared" si="16"/>
        <v>2220</v>
      </c>
      <c r="F61" s="1">
        <f t="shared" si="2"/>
        <v>2980</v>
      </c>
    </row>
    <row r="62" spans="1:6" x14ac:dyDescent="0.3">
      <c r="A62" s="2" t="s">
        <v>16</v>
      </c>
      <c r="B62" s="6">
        <v>78230</v>
      </c>
      <c r="C62" s="6" t="str">
        <f t="shared" si="1"/>
        <v>III78230</v>
      </c>
      <c r="D62" s="9">
        <f>D61+2980</f>
        <v>105280</v>
      </c>
      <c r="E62" s="1">
        <f t="shared" si="16"/>
        <v>2220</v>
      </c>
      <c r="F62" s="1">
        <f t="shared" si="2"/>
        <v>2980</v>
      </c>
    </row>
    <row r="63" spans="1:6" x14ac:dyDescent="0.3">
      <c r="A63" s="2" t="s">
        <v>16</v>
      </c>
      <c r="B63" s="7">
        <v>80450</v>
      </c>
      <c r="C63" s="7" t="str">
        <f t="shared" si="1"/>
        <v>III80450</v>
      </c>
      <c r="D63" s="11">
        <v>108260</v>
      </c>
      <c r="E63" s="43">
        <f t="shared" si="16"/>
        <v>2220</v>
      </c>
      <c r="F63" s="43">
        <f t="shared" si="2"/>
        <v>2980</v>
      </c>
    </row>
    <row r="64" spans="1:6" x14ac:dyDescent="0.3">
      <c r="A64" s="2" t="s">
        <v>16</v>
      </c>
      <c r="B64" s="7">
        <v>82670</v>
      </c>
      <c r="C64" s="7" t="str">
        <f t="shared" si="1"/>
        <v>III82670</v>
      </c>
      <c r="D64" s="11">
        <v>111240</v>
      </c>
      <c r="E64" s="43">
        <f t="shared" si="16"/>
        <v>2220</v>
      </c>
      <c r="F64" s="43">
        <f t="shared" si="2"/>
        <v>2980</v>
      </c>
    </row>
    <row r="65" spans="1:6" x14ac:dyDescent="0.3">
      <c r="A65" s="2" t="s">
        <v>16</v>
      </c>
      <c r="B65" s="7">
        <v>84890</v>
      </c>
      <c r="C65" s="7" t="str">
        <f t="shared" si="1"/>
        <v>III84890</v>
      </c>
      <c r="D65" s="11">
        <v>114220</v>
      </c>
      <c r="E65" s="43">
        <f t="shared" si="16"/>
        <v>2220</v>
      </c>
      <c r="F65" s="43">
        <f t="shared" si="2"/>
        <v>2980</v>
      </c>
    </row>
    <row r="66" spans="1:6" x14ac:dyDescent="0.3">
      <c r="A66" s="2" t="s">
        <v>16</v>
      </c>
      <c r="B66" s="7">
        <v>87110</v>
      </c>
      <c r="C66" s="7" t="str">
        <f t="shared" si="1"/>
        <v>III87110</v>
      </c>
      <c r="D66" s="11">
        <v>117200</v>
      </c>
      <c r="E66" s="43">
        <f t="shared" si="16"/>
        <v>2500</v>
      </c>
      <c r="F66" s="43">
        <f t="shared" si="2"/>
        <v>3360</v>
      </c>
    </row>
    <row r="67" spans="1:6" x14ac:dyDescent="0.3">
      <c r="A67" s="2" t="s">
        <v>16</v>
      </c>
      <c r="B67" s="7">
        <v>89610</v>
      </c>
      <c r="C67" s="7" t="str">
        <f t="shared" si="1"/>
        <v>III89610</v>
      </c>
      <c r="D67" s="11">
        <v>120560</v>
      </c>
      <c r="E67" s="43">
        <f t="shared" si="16"/>
        <v>2500</v>
      </c>
      <c r="F67" s="43">
        <f t="shared" si="2"/>
        <v>3360</v>
      </c>
    </row>
    <row r="68" spans="1:6" x14ac:dyDescent="0.3">
      <c r="A68" s="2" t="s">
        <v>16</v>
      </c>
      <c r="B68" s="7">
        <v>92110</v>
      </c>
      <c r="C68" s="7" t="str">
        <f t="shared" si="1"/>
        <v>III92110</v>
      </c>
      <c r="D68" s="11">
        <v>123920</v>
      </c>
      <c r="E68" s="43">
        <v>0</v>
      </c>
      <c r="F68" s="43">
        <f t="shared" si="2"/>
        <v>3680</v>
      </c>
    </row>
    <row r="69" spans="1:6" x14ac:dyDescent="0.3">
      <c r="A69" s="2" t="s">
        <v>16</v>
      </c>
      <c r="B69" s="7"/>
      <c r="C69" s="7"/>
      <c r="D69" s="11">
        <v>127600</v>
      </c>
      <c r="E69" s="43">
        <f t="shared" si="16"/>
        <v>0</v>
      </c>
      <c r="F69" s="43">
        <f t="shared" si="2"/>
        <v>3680</v>
      </c>
    </row>
    <row r="70" spans="1:6" x14ac:dyDescent="0.3">
      <c r="A70" s="2" t="s">
        <v>16</v>
      </c>
      <c r="B70" s="43"/>
      <c r="C70" s="7"/>
      <c r="D70" s="10">
        <v>131280</v>
      </c>
      <c r="E70" s="43">
        <v>0</v>
      </c>
      <c r="F70" s="43">
        <v>0</v>
      </c>
    </row>
    <row r="71" spans="1:6" x14ac:dyDescent="0.3">
      <c r="A71" s="2" t="s">
        <v>17</v>
      </c>
      <c r="B71" s="6">
        <v>76010</v>
      </c>
      <c r="C71" s="6" t="str">
        <f t="shared" si="1"/>
        <v>IV76010</v>
      </c>
      <c r="D71" s="9">
        <v>102300</v>
      </c>
      <c r="E71" s="1">
        <f t="shared" ref="E71:E76" si="18">B72-B71</f>
        <v>2220</v>
      </c>
      <c r="F71" s="1">
        <f t="shared" si="2"/>
        <v>2980</v>
      </c>
    </row>
    <row r="72" spans="1:6" x14ac:dyDescent="0.3">
      <c r="A72" s="2" t="s">
        <v>17</v>
      </c>
      <c r="B72" s="6">
        <v>78230</v>
      </c>
      <c r="C72" s="6" t="str">
        <f t="shared" si="1"/>
        <v>IV78230</v>
      </c>
      <c r="D72" s="9">
        <f>D71+2980</f>
        <v>105280</v>
      </c>
      <c r="E72" s="1">
        <f t="shared" si="18"/>
        <v>2220</v>
      </c>
      <c r="F72" s="1">
        <f t="shared" si="2"/>
        <v>2980</v>
      </c>
    </row>
    <row r="73" spans="1:6" x14ac:dyDescent="0.3">
      <c r="A73" s="2" t="s">
        <v>17</v>
      </c>
      <c r="B73" s="6">
        <v>80450</v>
      </c>
      <c r="C73" s="6" t="str">
        <f t="shared" si="1"/>
        <v>IV80450</v>
      </c>
      <c r="D73" s="9">
        <f t="shared" ref="D73:D75" si="19">D72+2980</f>
        <v>108260</v>
      </c>
      <c r="E73" s="1">
        <f t="shared" si="18"/>
        <v>2220</v>
      </c>
      <c r="F73" s="1">
        <f t="shared" si="2"/>
        <v>2980</v>
      </c>
    </row>
    <row r="74" spans="1:6" x14ac:dyDescent="0.3">
      <c r="A74" s="2" t="s">
        <v>17</v>
      </c>
      <c r="B74" s="6">
        <v>82670</v>
      </c>
      <c r="C74" s="6" t="str">
        <f t="shared" si="1"/>
        <v>IV82670</v>
      </c>
      <c r="D74" s="9">
        <f t="shared" si="19"/>
        <v>111240</v>
      </c>
      <c r="E74" s="1">
        <f t="shared" si="18"/>
        <v>2220</v>
      </c>
      <c r="F74" s="1">
        <f t="shared" si="2"/>
        <v>2980</v>
      </c>
    </row>
    <row r="75" spans="1:6" x14ac:dyDescent="0.3">
      <c r="A75" s="2" t="s">
        <v>17</v>
      </c>
      <c r="B75" s="6">
        <v>84890</v>
      </c>
      <c r="C75" s="6" t="str">
        <f t="shared" si="1"/>
        <v>IV84890</v>
      </c>
      <c r="D75" s="9">
        <f t="shared" si="19"/>
        <v>114220</v>
      </c>
      <c r="E75" s="1">
        <f t="shared" si="18"/>
        <v>2500</v>
      </c>
      <c r="F75" s="1">
        <f t="shared" si="2"/>
        <v>3360</v>
      </c>
    </row>
    <row r="76" spans="1:6" x14ac:dyDescent="0.3">
      <c r="A76" s="2" t="s">
        <v>17</v>
      </c>
      <c r="B76" s="6">
        <v>87390</v>
      </c>
      <c r="C76" s="6" t="str">
        <f t="shared" ref="C76:C88" si="20">A76&amp;B76</f>
        <v>IV87390</v>
      </c>
      <c r="D76" s="9">
        <f>D75+3360</f>
        <v>117580</v>
      </c>
      <c r="E76" s="1">
        <f t="shared" si="18"/>
        <v>2500</v>
      </c>
      <c r="F76" s="1">
        <f t="shared" ref="F76" si="21">D77-D76</f>
        <v>3360</v>
      </c>
    </row>
    <row r="77" spans="1:6" x14ac:dyDescent="0.3">
      <c r="A77" s="8" t="s">
        <v>17</v>
      </c>
      <c r="B77" s="7">
        <v>89890</v>
      </c>
      <c r="C77" s="7" t="str">
        <f t="shared" si="20"/>
        <v>IV89890</v>
      </c>
      <c r="D77" s="11">
        <f>D76+3360</f>
        <v>120940</v>
      </c>
      <c r="E77" s="43">
        <f t="shared" ref="E77:E81" si="22">B78-B77</f>
        <v>2500</v>
      </c>
      <c r="F77" s="43">
        <f t="shared" ref="F77:F81" si="23">D78-D77</f>
        <v>3360</v>
      </c>
    </row>
    <row r="78" spans="1:6" x14ac:dyDescent="0.3">
      <c r="A78" s="8" t="s">
        <v>17</v>
      </c>
      <c r="B78" s="7">
        <v>92390</v>
      </c>
      <c r="C78" s="7" t="str">
        <f t="shared" si="20"/>
        <v>IV92390</v>
      </c>
      <c r="D78" s="11">
        <v>124300</v>
      </c>
      <c r="E78" s="43">
        <f t="shared" si="22"/>
        <v>2730</v>
      </c>
      <c r="F78" s="43">
        <f t="shared" si="23"/>
        <v>3680</v>
      </c>
    </row>
    <row r="79" spans="1:6" x14ac:dyDescent="0.3">
      <c r="A79" s="8" t="s">
        <v>17</v>
      </c>
      <c r="B79" s="7">
        <v>95120</v>
      </c>
      <c r="C79" s="7" t="str">
        <f t="shared" si="20"/>
        <v>IV95120</v>
      </c>
      <c r="D79" s="11">
        <v>127980</v>
      </c>
      <c r="E79" s="43">
        <v>0</v>
      </c>
      <c r="F79" s="43">
        <f t="shared" si="23"/>
        <v>4000</v>
      </c>
    </row>
    <row r="80" spans="1:6" x14ac:dyDescent="0.3">
      <c r="A80" s="8" t="s">
        <v>17</v>
      </c>
      <c r="B80" s="7"/>
      <c r="C80" s="7"/>
      <c r="D80" s="11">
        <v>131980</v>
      </c>
      <c r="E80" s="43">
        <f t="shared" si="22"/>
        <v>0</v>
      </c>
      <c r="F80" s="43">
        <f t="shared" si="23"/>
        <v>4000</v>
      </c>
    </row>
    <row r="81" spans="1:6" x14ac:dyDescent="0.3">
      <c r="A81" s="8" t="s">
        <v>17</v>
      </c>
      <c r="B81" s="7"/>
      <c r="C81" s="7"/>
      <c r="D81" s="11">
        <v>135980</v>
      </c>
      <c r="E81" s="43">
        <f t="shared" si="22"/>
        <v>0</v>
      </c>
      <c r="F81" s="43">
        <f t="shared" si="23"/>
        <v>4000</v>
      </c>
    </row>
    <row r="82" spans="1:6" x14ac:dyDescent="0.3">
      <c r="A82" s="8" t="s">
        <v>17</v>
      </c>
      <c r="B82" s="7"/>
      <c r="C82" s="7"/>
      <c r="D82" s="11">
        <v>139980</v>
      </c>
      <c r="E82" s="43">
        <v>0</v>
      </c>
      <c r="F82" s="43">
        <v>0</v>
      </c>
    </row>
    <row r="83" spans="1:6" x14ac:dyDescent="0.3">
      <c r="A83" s="2" t="s">
        <v>64</v>
      </c>
      <c r="B83" s="1">
        <v>89890</v>
      </c>
      <c r="C83" s="2" t="str">
        <f t="shared" si="20"/>
        <v>V89890</v>
      </c>
      <c r="D83" s="1">
        <v>120940</v>
      </c>
      <c r="E83" s="1">
        <f t="shared" ref="E83" si="24">B84-B83</f>
        <v>2500</v>
      </c>
      <c r="F83" s="1">
        <f t="shared" ref="F83" si="25">D84-D83</f>
        <v>3360</v>
      </c>
    </row>
    <row r="84" spans="1:6" x14ac:dyDescent="0.3">
      <c r="A84" s="2" t="s">
        <v>64</v>
      </c>
      <c r="B84" s="1">
        <v>92390</v>
      </c>
      <c r="C84" s="2" t="str">
        <f t="shared" si="20"/>
        <v>V92390</v>
      </c>
      <c r="D84" s="1">
        <f>D83+3360</f>
        <v>124300</v>
      </c>
      <c r="E84" s="1">
        <f t="shared" ref="E84:E91" si="26">B85-B84</f>
        <v>2500</v>
      </c>
      <c r="F84" s="1">
        <f t="shared" ref="F84:F90" si="27">D85-D84</f>
        <v>3360</v>
      </c>
    </row>
    <row r="85" spans="1:6" x14ac:dyDescent="0.3">
      <c r="A85" s="2" t="s">
        <v>64</v>
      </c>
      <c r="B85" s="1">
        <v>94890</v>
      </c>
      <c r="C85" s="2" t="str">
        <f t="shared" si="20"/>
        <v>V94890</v>
      </c>
      <c r="D85" s="1">
        <f t="shared" ref="D85" si="28">D84+3360</f>
        <v>127660</v>
      </c>
      <c r="E85" s="1">
        <f t="shared" si="26"/>
        <v>2730</v>
      </c>
      <c r="F85" s="1">
        <f t="shared" si="27"/>
        <v>3680</v>
      </c>
    </row>
    <row r="86" spans="1:6" x14ac:dyDescent="0.3">
      <c r="A86" s="2" t="s">
        <v>64</v>
      </c>
      <c r="B86" s="1">
        <v>97620</v>
      </c>
      <c r="C86" s="2" t="str">
        <f t="shared" si="20"/>
        <v>V97620</v>
      </c>
      <c r="D86" s="1">
        <f>D85+3680</f>
        <v>131340</v>
      </c>
      <c r="E86" s="1">
        <f t="shared" si="26"/>
        <v>2730</v>
      </c>
      <c r="F86" s="1">
        <f t="shared" si="27"/>
        <v>3680</v>
      </c>
    </row>
    <row r="87" spans="1:6" x14ac:dyDescent="0.3">
      <c r="A87" s="2" t="s">
        <v>64</v>
      </c>
      <c r="B87" s="1">
        <v>100350</v>
      </c>
      <c r="C87" s="2" t="str">
        <f t="shared" si="20"/>
        <v>V100350</v>
      </c>
      <c r="D87" s="1">
        <f t="shared" ref="D87" si="29">D86+3680</f>
        <v>135020</v>
      </c>
      <c r="E87" s="1">
        <f t="shared" si="26"/>
        <v>2970</v>
      </c>
      <c r="F87" s="1">
        <f t="shared" si="27"/>
        <v>4000</v>
      </c>
    </row>
    <row r="88" spans="1:6" x14ac:dyDescent="0.3">
      <c r="A88" s="8" t="s">
        <v>64</v>
      </c>
      <c r="B88" s="43">
        <v>103320</v>
      </c>
      <c r="C88" s="8" t="str">
        <f t="shared" si="20"/>
        <v>V103320</v>
      </c>
      <c r="D88" s="43">
        <v>139020</v>
      </c>
      <c r="E88" s="43">
        <v>0</v>
      </c>
      <c r="F88" s="43">
        <f t="shared" si="27"/>
        <v>4000</v>
      </c>
    </row>
    <row r="89" spans="1:6" x14ac:dyDescent="0.3">
      <c r="A89" s="8" t="s">
        <v>64</v>
      </c>
      <c r="B89" s="43"/>
      <c r="C89" s="8"/>
      <c r="D89" s="43">
        <v>143020</v>
      </c>
      <c r="E89" s="43">
        <f t="shared" si="26"/>
        <v>0</v>
      </c>
      <c r="F89" s="43">
        <f t="shared" si="27"/>
        <v>4340</v>
      </c>
    </row>
    <row r="90" spans="1:6" x14ac:dyDescent="0.3">
      <c r="A90" s="8" t="s">
        <v>64</v>
      </c>
      <c r="B90" s="43"/>
      <c r="C90" s="8"/>
      <c r="D90" s="43">
        <v>147360</v>
      </c>
      <c r="E90" s="43">
        <f t="shared" si="26"/>
        <v>0</v>
      </c>
      <c r="F90" s="43">
        <f t="shared" si="27"/>
        <v>4340</v>
      </c>
    </row>
    <row r="91" spans="1:6" x14ac:dyDescent="0.3">
      <c r="A91" s="8" t="s">
        <v>64</v>
      </c>
      <c r="B91" s="43"/>
      <c r="C91" s="8"/>
      <c r="D91" s="43">
        <v>151700</v>
      </c>
      <c r="E91" s="43">
        <f t="shared" si="26"/>
        <v>0</v>
      </c>
      <c r="F91" s="43">
        <v>0</v>
      </c>
    </row>
  </sheetData>
  <pageMargins left="0.7" right="0.7" top="0.75" bottom="0.75" header="0.3" footer="0.3"/>
  <ignoredErrors>
    <ignoredError sqref="D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Dash</vt:lpstr>
      <vt:lpstr>Calculations</vt:lpstr>
      <vt:lpstr>Data</vt:lpstr>
      <vt:lpstr>Scales</vt:lpstr>
      <vt:lpstr>I</vt:lpstr>
      <vt:lpstr>II</vt:lpstr>
      <vt:lpstr>III</vt:lpstr>
      <vt:lpstr>IV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12th Bipartite Settlement Arrears Calculator</dc:title>
  <dc:creator>Saqib Qureshi</dc:creator>
  <cp:keywords>JK Bank, SBI, Indian Bank, BOB</cp:keywords>
  <cp:lastModifiedBy>finesaqib</cp:lastModifiedBy>
  <dcterms:created xsi:type="dcterms:W3CDTF">2021-03-15T07:05:19Z</dcterms:created>
  <dcterms:modified xsi:type="dcterms:W3CDTF">2024-10-12T15:07:20Z</dcterms:modified>
</cp:coreProperties>
</file>